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IdahoRegulationPAC/Shared Documents/General/PAC-E-23-XX ECAM Annual Filing/DO NOT EDIT - Sent to Doc Center/"/>
    </mc:Choice>
  </mc:AlternateContent>
  <xr:revisionPtr revIDLastSave="7" documentId="8_{F7E1D9F3-A62D-4EDC-B4F1-ABF60831D3B0}" xr6:coauthVersionLast="47" xr6:coauthVersionMax="47" xr10:uidLastSave="{25E2F0F3-B11E-4F10-915D-F035543BD543}"/>
  <bookViews>
    <workbookView minimized="1" xWindow="2505" yWindow="2190" windowWidth="21600" windowHeight="11325" tabRatio="766" activeTab="1" xr2:uid="{00000000-000D-0000-FFFF-FFFF00000000}"/>
  </bookViews>
  <sheets>
    <sheet name="Exhibit 2" sheetId="1" r:id="rId1"/>
    <sheet name="NPC-Summary" sheetId="23" r:id="rId2"/>
    <sheet name="NPC-Table 2" sheetId="21" r:id="rId3"/>
    <sheet name="Forecast" sheetId="14" r:id="rId4"/>
    <sheet name="ECAM-Rev" sheetId="22" r:id="rId5"/>
    <sheet name="Table A" sheetId="17" r:id="rId6"/>
    <sheet name="Voltage Data" sheetId="2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5" hidden="1">[1]Inputs!#REF!</definedName>
    <definedName name="__123Graph_A" hidden="1">[1]Inputs!#REF!</definedName>
    <definedName name="__123Graph_B" localSheetId="5" hidden="1">[1]Inputs!#REF!</definedName>
    <definedName name="__123Graph_B" hidden="1">[1]Inputs!#REF!</definedName>
    <definedName name="__123Graph_D" localSheetId="5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5" hidden="1">#REF!</definedName>
    <definedName name="_Fill" hidden="1">#REF!</definedName>
    <definedName name="_xlnm._FilterDatabase" localSheetId="5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Sort" localSheetId="5" hidden="1">#REF!</definedName>
    <definedName name="_Sort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5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5" hidden="1">[4]Inputs!#REF!</definedName>
    <definedName name="PricingInfo" hidden="1">[4]Inputs!#REF!</definedName>
    <definedName name="_xlnm.Print_Area" localSheetId="0">'Exhibit 2'!$A$1:$AG$50</definedName>
    <definedName name="_xlnm.Print_Area" localSheetId="5">'Table A'!$A$1:$AC$44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"45EQYSCWE9WJMGB34OOD1BOQZ"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5" hidden="1">[5]Inputs!#REF!</definedName>
    <definedName name="w" hidden="1">[5]Inputs!#REF!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5" hidden="1">#REF!</definedName>
    <definedName name="y" hidden="1">#REF!</definedName>
    <definedName name="z" localSheetId="5" hidden="1">#REF!</definedName>
    <definedName name="z" hidden="1">#REF!</definedName>
    <definedName name="Z_01844156_6462_4A28_9785_1A86F4D0C834_.wvu.PrintTitles" localSheetId="5" hidden="1">#REF!</definedName>
    <definedName name="Z_01844156_6462_4A28_9785_1A86F4D0C834_.wvu.PrintTitles" hidden="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1" l="1"/>
  <c r="E15" i="22"/>
  <c r="D15" i="22"/>
  <c r="O33" i="1" l="1"/>
  <c r="Q33" i="1"/>
  <c r="S33" i="1"/>
  <c r="W44" i="17"/>
  <c r="Q44" i="17"/>
  <c r="K44" i="17"/>
  <c r="Y44" i="17" s="1"/>
  <c r="I44" i="17"/>
  <c r="G44" i="17"/>
  <c r="M44" i="1"/>
  <c r="K44" i="1"/>
  <c r="I44" i="1"/>
  <c r="G44" i="1"/>
  <c r="Q27" i="1"/>
  <c r="A15" i="17"/>
  <c r="A15" i="1"/>
  <c r="A16" i="1" s="1"/>
  <c r="C7" i="23"/>
  <c r="C10" i="23" s="1"/>
  <c r="C17" i="23" s="1"/>
  <c r="C21" i="23" s="1"/>
  <c r="A17" i="1" l="1"/>
  <c r="A16" i="17"/>
  <c r="I49" i="1"/>
  <c r="E31" i="22"/>
  <c r="D31" i="22"/>
  <c r="G31" i="22" s="1"/>
  <c r="D41" i="22"/>
  <c r="G41" i="22" s="1"/>
  <c r="E41" i="22"/>
  <c r="D43" i="22"/>
  <c r="G43" i="22" s="1"/>
  <c r="E43" i="22"/>
  <c r="D32" i="22"/>
  <c r="G32" i="22" s="1"/>
  <c r="H32" i="22" s="1"/>
  <c r="E32" i="22"/>
  <c r="D33" i="22"/>
  <c r="G33" i="22" s="1"/>
  <c r="H33" i="22" s="1"/>
  <c r="E33" i="22"/>
  <c r="D34" i="22"/>
  <c r="G34" i="22" s="1"/>
  <c r="H34" i="22" s="1"/>
  <c r="E34" i="22"/>
  <c r="D35" i="22"/>
  <c r="G35" i="22" s="1"/>
  <c r="H35" i="22" s="1"/>
  <c r="E35" i="22"/>
  <c r="D36" i="22"/>
  <c r="G36" i="22" s="1"/>
  <c r="H36" i="22" s="1"/>
  <c r="E36" i="22"/>
  <c r="D37" i="22"/>
  <c r="G37" i="22" s="1"/>
  <c r="H37" i="22" s="1"/>
  <c r="E37" i="22"/>
  <c r="D38" i="22"/>
  <c r="G38" i="22" s="1"/>
  <c r="H38" i="22" s="1"/>
  <c r="E38" i="22"/>
  <c r="D39" i="22"/>
  <c r="G39" i="22" s="1"/>
  <c r="H39" i="22" s="1"/>
  <c r="E39" i="22"/>
  <c r="D40" i="22"/>
  <c r="G40" i="22" s="1"/>
  <c r="H40" i="22" s="1"/>
  <c r="E40" i="22"/>
  <c r="D42" i="22"/>
  <c r="G42" i="22" s="1"/>
  <c r="H42" i="22" s="1"/>
  <c r="E42" i="22"/>
  <c r="E30" i="22"/>
  <c r="H31" i="22" l="1"/>
  <c r="A19" i="1"/>
  <c r="A17" i="17"/>
  <c r="A19" i="17" s="1"/>
  <c r="A20" i="1"/>
  <c r="D30" i="22"/>
  <c r="H43" i="22"/>
  <c r="H41" i="22"/>
  <c r="A20" i="17" l="1"/>
  <c r="A21" i="1"/>
  <c r="A22" i="1" s="1"/>
  <c r="W29" i="17"/>
  <c r="A21" i="17" l="1"/>
  <c r="A22" i="17" s="1"/>
  <c r="A23" i="17"/>
  <c r="A24" i="17" s="1"/>
  <c r="A23" i="1"/>
  <c r="A24" i="1"/>
  <c r="Q30" i="1"/>
  <c r="O30" i="1"/>
  <c r="M26" i="1"/>
  <c r="M27" i="1" s="1"/>
  <c r="M21" i="1"/>
  <c r="O21" i="1" s="1"/>
  <c r="M20" i="1"/>
  <c r="D10" i="2"/>
  <c r="D11" i="2" s="1"/>
  <c r="D8" i="2"/>
  <c r="D9" i="2" s="1"/>
  <c r="D6" i="2"/>
  <c r="D7" i="2" s="1"/>
  <c r="D4" i="2"/>
  <c r="D5" i="2" s="1"/>
  <c r="D2" i="2"/>
  <c r="D3" i="2" s="1"/>
  <c r="A25" i="1" l="1"/>
  <c r="M29" i="1"/>
  <c r="AC29" i="1" s="1"/>
  <c r="M29" i="17" s="1"/>
  <c r="O29" i="17" s="1"/>
  <c r="A26" i="1" l="1"/>
  <c r="A27" i="1" s="1"/>
  <c r="A25" i="17"/>
  <c r="A26" i="17" s="1"/>
  <c r="A27" i="17" s="1"/>
  <c r="A28" i="17" s="1"/>
  <c r="A29" i="17" s="1"/>
  <c r="A30" i="17" s="1"/>
  <c r="A31" i="17" s="1"/>
  <c r="A32" i="17" s="1"/>
  <c r="A33" i="17" s="1"/>
  <c r="A35" i="17" s="1"/>
  <c r="A36" i="17" s="1"/>
  <c r="A37" i="17" s="1"/>
  <c r="S29" i="1"/>
  <c r="A28" i="1" l="1"/>
  <c r="A38" i="17"/>
  <c r="A39" i="17" s="1"/>
  <c r="A40" i="17" s="1"/>
  <c r="A41" i="17" s="1"/>
  <c r="A43" i="17" s="1"/>
  <c r="A44" i="17" s="1"/>
  <c r="A31" i="1" l="1"/>
  <c r="A32" i="1" s="1"/>
  <c r="A33" i="1" s="1"/>
  <c r="A35" i="1" s="1"/>
  <c r="A36" i="1" s="1"/>
  <c r="A37" i="1" s="1"/>
  <c r="A38" i="1" s="1"/>
  <c r="A39" i="1" s="1"/>
  <c r="A40" i="1" s="1"/>
  <c r="A41" i="1" s="1"/>
  <c r="A43" i="1" s="1"/>
  <c r="A29" i="1"/>
  <c r="A30" i="1" s="1"/>
  <c r="A3" i="14"/>
  <c r="A47" i="1" l="1"/>
  <c r="A48" i="1" s="1"/>
  <c r="A49" i="1" s="1"/>
  <c r="A50" i="1" s="1"/>
  <c r="A44" i="1"/>
  <c r="G2" i="22"/>
  <c r="G3" i="22"/>
  <c r="G4" i="22"/>
  <c r="G5" i="22"/>
  <c r="G6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2" i="22"/>
  <c r="G23" i="22"/>
  <c r="G24" i="22"/>
  <c r="G25" i="22"/>
  <c r="G26" i="22"/>
  <c r="G27" i="22"/>
  <c r="G28" i="22"/>
  <c r="G29" i="22"/>
  <c r="G21" i="22"/>
  <c r="G7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30" i="22"/>
  <c r="E17" i="14" l="1"/>
  <c r="G30" i="22" l="1"/>
  <c r="H30" i="22" s="1"/>
  <c r="I6" i="14" l="1"/>
  <c r="J6" i="14"/>
  <c r="K6" i="14"/>
  <c r="I7" i="14"/>
  <c r="J7" i="14"/>
  <c r="K7" i="14"/>
  <c r="H5" i="22"/>
  <c r="L7" i="14" l="1"/>
  <c r="K9" i="14" l="1"/>
  <c r="J9" i="14"/>
  <c r="I9" i="14"/>
  <c r="B9" i="14" s="1"/>
  <c r="K8" i="14"/>
  <c r="J8" i="14"/>
  <c r="I8" i="14"/>
  <c r="B8" i="14" s="1"/>
  <c r="B17" i="14" s="1"/>
  <c r="K4" i="14"/>
  <c r="J4" i="14"/>
  <c r="I4" i="14"/>
  <c r="B4" i="14" s="1"/>
  <c r="B5" i="14" s="1"/>
  <c r="B6" i="14" s="1"/>
  <c r="B7" i="14" s="1"/>
  <c r="K3" i="14"/>
  <c r="J3" i="14"/>
  <c r="I3" i="14"/>
  <c r="B3" i="14" s="1"/>
  <c r="F3" i="14" l="1"/>
  <c r="F8" i="14"/>
  <c r="B10" i="14"/>
  <c r="B18" i="14"/>
  <c r="D3" i="14"/>
  <c r="L3" i="14"/>
  <c r="L9" i="14"/>
  <c r="D9" i="14"/>
  <c r="E9" i="14" s="1"/>
  <c r="D4" i="14"/>
  <c r="L4" i="14"/>
  <c r="D8" i="14"/>
  <c r="E8" i="14" s="1"/>
  <c r="L8" i="14"/>
  <c r="H29" i="22"/>
  <c r="H28" i="22"/>
  <c r="H15" i="22"/>
  <c r="H14" i="22"/>
  <c r="E4" i="14" l="1"/>
  <c r="D18" i="14"/>
  <c r="D17" i="14"/>
  <c r="F17" i="14" s="1"/>
  <c r="E3" i="14"/>
  <c r="B11" i="14"/>
  <c r="B19" i="14"/>
  <c r="G17" i="14" l="1"/>
  <c r="B12" i="14"/>
  <c r="B21" i="14" s="1"/>
  <c r="B20" i="14"/>
  <c r="K12" i="14"/>
  <c r="J12" i="14"/>
  <c r="I12" i="14"/>
  <c r="K11" i="14"/>
  <c r="J11" i="14"/>
  <c r="I11" i="14"/>
  <c r="K10" i="14"/>
  <c r="D10" i="14" s="1"/>
  <c r="J10" i="14"/>
  <c r="I10" i="14"/>
  <c r="K5" i="14"/>
  <c r="D5" i="14" s="1"/>
  <c r="J5" i="14"/>
  <c r="I5" i="14"/>
  <c r="L5" i="14" l="1"/>
  <c r="L11" i="14"/>
  <c r="L12" i="14"/>
  <c r="L6" i="14"/>
  <c r="L10" i="14"/>
  <c r="H2" i="22"/>
  <c r="H3" i="22"/>
  <c r="H4" i="22"/>
  <c r="H6" i="22"/>
  <c r="H7" i="22"/>
  <c r="H8" i="22"/>
  <c r="H9" i="22"/>
  <c r="H10" i="22"/>
  <c r="H11" i="22"/>
  <c r="H12" i="22"/>
  <c r="H13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D11" i="14" l="1"/>
  <c r="D12" i="14"/>
  <c r="AE17" i="17"/>
  <c r="AH17" i="1" l="1"/>
  <c r="AH15" i="1"/>
  <c r="AH14" i="1"/>
  <c r="AE15" i="17"/>
  <c r="AE14" i="17"/>
  <c r="E12" i="14" l="1"/>
  <c r="E11" i="14" l="1"/>
  <c r="E10" i="14" l="1"/>
  <c r="O26" i="1" l="1"/>
  <c r="O27" i="1" s="1"/>
  <c r="W43" i="17" l="1"/>
  <c r="Y43" i="17" s="1"/>
  <c r="W41" i="17"/>
  <c r="Y41" i="17" s="1"/>
  <c r="W39" i="17"/>
  <c r="Y39" i="17" s="1"/>
  <c r="W38" i="17"/>
  <c r="Y38" i="17" s="1"/>
  <c r="W37" i="17"/>
  <c r="Y37" i="17" s="1"/>
  <c r="W36" i="17"/>
  <c r="Y36" i="17" s="1"/>
  <c r="W31" i="17"/>
  <c r="Y31" i="17" s="1"/>
  <c r="W28" i="17"/>
  <c r="W26" i="17"/>
  <c r="Y26" i="17" s="1"/>
  <c r="W25" i="17"/>
  <c r="Y25" i="17" s="1"/>
  <c r="W24" i="17"/>
  <c r="Y24" i="17" s="1"/>
  <c r="W23" i="17"/>
  <c r="W22" i="17"/>
  <c r="Y22" i="17" s="1"/>
  <c r="W21" i="17"/>
  <c r="Y21" i="17" s="1"/>
  <c r="W20" i="17"/>
  <c r="W17" i="17"/>
  <c r="Y17" i="17" s="1"/>
  <c r="W15" i="17"/>
  <c r="Y15" i="17" s="1"/>
  <c r="W14" i="17"/>
  <c r="Y14" i="17" s="1"/>
  <c r="U40" i="17"/>
  <c r="U32" i="17"/>
  <c r="U16" i="17"/>
  <c r="O32" i="17"/>
  <c r="O40" i="17"/>
  <c r="O16" i="17"/>
  <c r="E11" i="17"/>
  <c r="Y23" i="17" l="1"/>
  <c r="Y20" i="17"/>
  <c r="W33" i="17"/>
  <c r="Y33" i="17" s="1"/>
  <c r="W27" i="17"/>
  <c r="Y27" i="17" s="1"/>
  <c r="Y28" i="17"/>
  <c r="W30" i="17"/>
  <c r="Y30" i="17" s="1"/>
  <c r="G11" i="17"/>
  <c r="I11" i="17" l="1"/>
  <c r="K11" i="17" s="1"/>
  <c r="M11" i="17" l="1"/>
  <c r="O11" i="17" l="1"/>
  <c r="D19" i="14" l="1"/>
  <c r="D6" i="14"/>
  <c r="D20" i="14" s="1"/>
  <c r="D7" i="14"/>
  <c r="D21" i="14" s="1"/>
  <c r="Q11" i="17"/>
  <c r="D22" i="14" l="1"/>
  <c r="C10" i="21" s="1"/>
  <c r="E7" i="14"/>
  <c r="E6" i="14"/>
  <c r="S11" i="17"/>
  <c r="U11" i="17" s="1"/>
  <c r="E18" i="14" l="1"/>
  <c r="W11" i="17"/>
  <c r="Y11" i="17" s="1"/>
  <c r="E5" i="14"/>
  <c r="AA11" i="17" l="1"/>
  <c r="AC11" i="17" s="1"/>
  <c r="F18" i="14"/>
  <c r="G18" i="14" s="1"/>
  <c r="E19" i="14" s="1"/>
  <c r="Q41" i="1"/>
  <c r="O41" i="1"/>
  <c r="Q31" i="1"/>
  <c r="AC31" i="1" s="1"/>
  <c r="AC23" i="1"/>
  <c r="Q22" i="1"/>
  <c r="M39" i="1"/>
  <c r="S39" i="1" s="1"/>
  <c r="M38" i="1"/>
  <c r="S38" i="1" s="1"/>
  <c r="M37" i="1"/>
  <c r="S37" i="1" s="1"/>
  <c r="M36" i="1"/>
  <c r="S36" i="1" s="1"/>
  <c r="M28" i="1"/>
  <c r="S26" i="1"/>
  <c r="M24" i="1"/>
  <c r="S21" i="1"/>
  <c r="M15" i="1"/>
  <c r="S15" i="1" s="1"/>
  <c r="S28" i="1" l="1"/>
  <c r="S30" i="1" s="1"/>
  <c r="M30" i="1"/>
  <c r="S24" i="1"/>
  <c r="M33" i="1"/>
  <c r="F19" i="14"/>
  <c r="G19" i="14" s="1"/>
  <c r="E20" i="14" s="1"/>
  <c r="F20" i="14" s="1"/>
  <c r="G20" i="14" s="1"/>
  <c r="E21" i="14" s="1"/>
  <c r="M31" i="17"/>
  <c r="O31" i="17" s="1"/>
  <c r="S31" i="1"/>
  <c r="S23" i="1"/>
  <c r="S41" i="1"/>
  <c r="AC26" i="1"/>
  <c r="M26" i="17" s="1"/>
  <c r="O26" i="17" s="1"/>
  <c r="AC36" i="1"/>
  <c r="M36" i="17" s="1"/>
  <c r="AC38" i="1"/>
  <c r="M38" i="17" s="1"/>
  <c r="O38" i="17" s="1"/>
  <c r="AC15" i="1"/>
  <c r="M15" i="17" s="1"/>
  <c r="O15" i="17" s="1"/>
  <c r="AC21" i="1"/>
  <c r="M21" i="17" s="1"/>
  <c r="O21" i="17" s="1"/>
  <c r="AC24" i="1"/>
  <c r="M24" i="17" s="1"/>
  <c r="O24" i="17" s="1"/>
  <c r="AC28" i="1"/>
  <c r="AC37" i="1"/>
  <c r="M37" i="17" s="1"/>
  <c r="O37" i="17" s="1"/>
  <c r="AC39" i="1"/>
  <c r="M39" i="17" s="1"/>
  <c r="O39" i="17" s="1"/>
  <c r="M41" i="1"/>
  <c r="Q17" i="1"/>
  <c r="O17" i="1"/>
  <c r="M14" i="1"/>
  <c r="AC14" i="1" s="1"/>
  <c r="M14" i="17" s="1"/>
  <c r="M28" i="17" l="1"/>
  <c r="AC30" i="1"/>
  <c r="M23" i="17"/>
  <c r="F21" i="14"/>
  <c r="F22" i="14" s="1"/>
  <c r="C11" i="21" s="1"/>
  <c r="C12" i="21" s="1"/>
  <c r="S25" i="1"/>
  <c r="S27" i="1" s="1"/>
  <c r="Q43" i="1"/>
  <c r="Q44" i="1" s="1"/>
  <c r="AC25" i="1"/>
  <c r="O14" i="17"/>
  <c r="O17" i="17" s="1"/>
  <c r="M17" i="17"/>
  <c r="O36" i="17"/>
  <c r="O41" i="17" s="1"/>
  <c r="M41" i="17"/>
  <c r="AC41" i="1"/>
  <c r="S14" i="1"/>
  <c r="S17" i="1" s="1"/>
  <c r="M17" i="1"/>
  <c r="M25" i="17" l="1"/>
  <c r="AC27" i="1"/>
  <c r="O23" i="17"/>
  <c r="O28" i="17"/>
  <c r="O30" i="17" s="1"/>
  <c r="M30" i="17"/>
  <c r="M27" i="17"/>
  <c r="I50" i="1"/>
  <c r="G21" i="14"/>
  <c r="G22" i="14" s="1"/>
  <c r="O25" i="17"/>
  <c r="O20" i="1"/>
  <c r="M43" i="1"/>
  <c r="M22" i="1"/>
  <c r="AC17" i="1"/>
  <c r="O27" i="17" l="1"/>
  <c r="AC20" i="1"/>
  <c r="M20" i="17" s="1"/>
  <c r="M33" i="17" s="1"/>
  <c r="O43" i="1"/>
  <c r="O44" i="1" s="1"/>
  <c r="S20" i="1"/>
  <c r="O22" i="1"/>
  <c r="AC22" i="1" l="1"/>
  <c r="M22" i="17"/>
  <c r="M43" i="17"/>
  <c r="M44" i="17" s="1"/>
  <c r="AC33" i="1"/>
  <c r="AC43" i="1" s="1"/>
  <c r="AC44" i="1" s="1"/>
  <c r="AC52" i="1" s="1"/>
  <c r="S43" i="1"/>
  <c r="O20" i="17"/>
  <c r="O33" i="17" s="1"/>
  <c r="S22" i="1"/>
  <c r="M11" i="1"/>
  <c r="K49" i="1" l="1"/>
  <c r="M49" i="1" s="1"/>
  <c r="S44" i="1"/>
  <c r="O49" i="1"/>
  <c r="K50" i="1"/>
  <c r="O22" i="17"/>
  <c r="O43" i="17"/>
  <c r="O44" i="17" s="1"/>
  <c r="O11" i="1"/>
  <c r="Q49" i="1" l="1"/>
  <c r="AA50" i="1"/>
  <c r="U31" i="1"/>
  <c r="I48" i="1" s="1"/>
  <c r="K48" i="1" s="1"/>
  <c r="Q48" i="1" s="1"/>
  <c r="U28" i="1"/>
  <c r="S28" i="17" s="1"/>
  <c r="U39" i="1"/>
  <c r="AE39" i="1" s="1"/>
  <c r="U38" i="1"/>
  <c r="AE38" i="1" s="1"/>
  <c r="U29" i="1"/>
  <c r="Q50" i="1"/>
  <c r="M50" i="1"/>
  <c r="O50" i="1"/>
  <c r="AE31" i="1"/>
  <c r="S31" i="17"/>
  <c r="Q11" i="1"/>
  <c r="S11" i="1" s="1"/>
  <c r="U23" i="1" l="1"/>
  <c r="S23" i="17" s="1"/>
  <c r="U21" i="1"/>
  <c r="AE21" i="1" s="1"/>
  <c r="U24" i="1"/>
  <c r="M48" i="1"/>
  <c r="W48" i="1" s="1"/>
  <c r="O48" i="1"/>
  <c r="U15" i="1"/>
  <c r="AE15" i="1" s="1"/>
  <c r="U26" i="1"/>
  <c r="S26" i="17" s="1"/>
  <c r="U36" i="1"/>
  <c r="S36" i="17" s="1"/>
  <c r="U37" i="1"/>
  <c r="S37" i="17" s="1"/>
  <c r="U20" i="1"/>
  <c r="AE20" i="1" s="1"/>
  <c r="U25" i="1"/>
  <c r="U14" i="1"/>
  <c r="S25" i="17"/>
  <c r="U27" i="1"/>
  <c r="AA49" i="1"/>
  <c r="AA31" i="1" s="1"/>
  <c r="AE28" i="1"/>
  <c r="U30" i="1"/>
  <c r="AE36" i="1"/>
  <c r="S21" i="17"/>
  <c r="S38" i="17"/>
  <c r="S20" i="17"/>
  <c r="AE25" i="1"/>
  <c r="AE26" i="1"/>
  <c r="S39" i="17"/>
  <c r="S15" i="17"/>
  <c r="S14" i="17"/>
  <c r="AE14" i="1"/>
  <c r="AE29" i="1"/>
  <c r="S29" i="17"/>
  <c r="U29" i="17" s="1"/>
  <c r="S27" i="17"/>
  <c r="U11" i="1"/>
  <c r="W11" i="1" s="1"/>
  <c r="Y11" i="1" s="1"/>
  <c r="AA11" i="1" s="1"/>
  <c r="AC11" i="1" s="1"/>
  <c r="AE11" i="1" s="1"/>
  <c r="AG11" i="1" s="1"/>
  <c r="AE23" i="1" l="1"/>
  <c r="AE37" i="1"/>
  <c r="W29" i="1"/>
  <c r="W30" i="1"/>
  <c r="AE24" i="1"/>
  <c r="S24" i="17"/>
  <c r="U33" i="1"/>
  <c r="AE27" i="1"/>
  <c r="AE30" i="1"/>
  <c r="AG30" i="1" s="1"/>
  <c r="AG14" i="1"/>
  <c r="AI14" i="1"/>
  <c r="S30" i="17"/>
  <c r="AE33" i="1"/>
  <c r="S33" i="17"/>
  <c r="Y48" i="1"/>
  <c r="Y29" i="1" l="1"/>
  <c r="Y30" i="1"/>
  <c r="AA48" i="1"/>
  <c r="AG31" i="1"/>
  <c r="U31" i="17"/>
  <c r="AA31" i="17" s="1"/>
  <c r="AC31" i="17" s="1"/>
  <c r="AA29" i="1" l="1"/>
  <c r="AA30" i="1"/>
  <c r="U23" i="17"/>
  <c r="AA36" i="1"/>
  <c r="AA23" i="17" l="1"/>
  <c r="AA25" i="1"/>
  <c r="AG23" i="1"/>
  <c r="AA37" i="1"/>
  <c r="AA39" i="1"/>
  <c r="AA23" i="1"/>
  <c r="AG36" i="1"/>
  <c r="AA28" i="1"/>
  <c r="AA38" i="1"/>
  <c r="AA14" i="1"/>
  <c r="AA26" i="1"/>
  <c r="AA20" i="1"/>
  <c r="AA21" i="1"/>
  <c r="AA24" i="1"/>
  <c r="AA15" i="1"/>
  <c r="AI15" i="1"/>
  <c r="U15" i="17"/>
  <c r="AA15" i="17" s="1"/>
  <c r="AG39" i="1"/>
  <c r="U39" i="17"/>
  <c r="AA39" i="17" s="1"/>
  <c r="AC39" i="17" s="1"/>
  <c r="AG37" i="1"/>
  <c r="U37" i="17"/>
  <c r="AA37" i="17" s="1"/>
  <c r="AC37" i="17" s="1"/>
  <c r="U22" i="1"/>
  <c r="U25" i="17"/>
  <c r="U41" i="1"/>
  <c r="U26" i="17"/>
  <c r="AA26" i="17" s="1"/>
  <c r="AC26" i="17" s="1"/>
  <c r="AG26" i="1"/>
  <c r="U38" i="17"/>
  <c r="AA38" i="17" s="1"/>
  <c r="AC38" i="17" s="1"/>
  <c r="AG38" i="1"/>
  <c r="AG28" i="1"/>
  <c r="U28" i="17"/>
  <c r="U17" i="1"/>
  <c r="W20" i="1"/>
  <c r="W15" i="1"/>
  <c r="W14" i="1"/>
  <c r="W21" i="1"/>
  <c r="W26" i="1"/>
  <c r="W38" i="1"/>
  <c r="W24" i="1"/>
  <c r="W37" i="1"/>
  <c r="W36" i="1"/>
  <c r="W39" i="1"/>
  <c r="W23" i="1"/>
  <c r="W28" i="1"/>
  <c r="W25" i="1"/>
  <c r="U21" i="17"/>
  <c r="AA21" i="17" s="1"/>
  <c r="AC21" i="17" s="1"/>
  <c r="AG21" i="1"/>
  <c r="Y15" i="1"/>
  <c r="Y36" i="1"/>
  <c r="Y20" i="1"/>
  <c r="Y21" i="1"/>
  <c r="Y37" i="1"/>
  <c r="Y23" i="1"/>
  <c r="Y25" i="1"/>
  <c r="Y26" i="1"/>
  <c r="Y38" i="1"/>
  <c r="Y39" i="1"/>
  <c r="Y14" i="1"/>
  <c r="Y28" i="1"/>
  <c r="Y24" i="1"/>
  <c r="U24" i="17"/>
  <c r="AA24" i="17" s="1"/>
  <c r="AC24" i="17" s="1"/>
  <c r="AG24" i="1"/>
  <c r="AG25" i="1"/>
  <c r="U36" i="17"/>
  <c r="U27" i="17" l="1"/>
  <c r="AC23" i="17"/>
  <c r="AA28" i="17"/>
  <c r="U30" i="17"/>
  <c r="AC15" i="17"/>
  <c r="AF15" i="17"/>
  <c r="S41" i="17"/>
  <c r="AG27" i="1"/>
  <c r="AA25" i="17"/>
  <c r="AC25" i="17" s="1"/>
  <c r="AG33" i="1"/>
  <c r="AE22" i="1"/>
  <c r="AG22" i="1" s="1"/>
  <c r="AG20" i="1"/>
  <c r="AE17" i="1"/>
  <c r="AE41" i="1"/>
  <c r="AG41" i="1" s="1"/>
  <c r="U20" i="17"/>
  <c r="U33" i="17" s="1"/>
  <c r="S22" i="17"/>
  <c r="S17" i="17"/>
  <c r="U14" i="17"/>
  <c r="AA36" i="17"/>
  <c r="AC36" i="17" s="1"/>
  <c r="U41" i="17"/>
  <c r="AA41" i="17" s="1"/>
  <c r="AC41" i="17" s="1"/>
  <c r="U43" i="1"/>
  <c r="U44" i="1" s="1"/>
  <c r="AG15" i="1"/>
  <c r="AI17" i="1" l="1"/>
  <c r="AE43" i="1"/>
  <c r="AE44" i="1" s="1"/>
  <c r="AG44" i="1" s="1"/>
  <c r="AA27" i="17"/>
  <c r="AC27" i="17" s="1"/>
  <c r="AC28" i="17"/>
  <c r="AA30" i="17"/>
  <c r="AC30" i="17" s="1"/>
  <c r="S43" i="17"/>
  <c r="S44" i="17" s="1"/>
  <c r="AA20" i="17"/>
  <c r="U22" i="17"/>
  <c r="AA22" i="17" s="1"/>
  <c r="AC22" i="17" s="1"/>
  <c r="AG17" i="1"/>
  <c r="U17" i="17"/>
  <c r="AA14" i="17"/>
  <c r="AF14" i="17" s="1"/>
  <c r="AC20" i="17" l="1"/>
  <c r="AA33" i="17"/>
  <c r="AC33" i="17" s="1"/>
  <c r="AC14" i="17"/>
  <c r="AG43" i="1"/>
  <c r="AA17" i="17"/>
  <c r="U43" i="17"/>
  <c r="AA43" i="17" l="1"/>
  <c r="U44" i="17"/>
  <c r="AC17" i="17"/>
  <c r="AF17" i="17"/>
  <c r="AC43" i="17" l="1"/>
  <c r="AA44" i="17"/>
  <c r="AC44" i="17" s="1"/>
</calcChain>
</file>

<file path=xl/sharedStrings.xml><?xml version="1.0" encoding="utf-8"?>
<sst xmlns="http://schemas.openxmlformats.org/spreadsheetml/2006/main" count="284" uniqueCount="165">
  <si>
    <t>EXHIBIT NO. 2</t>
  </si>
  <si>
    <t xml:space="preserve">ROCKY MOUNTAIN POWER </t>
  </si>
  <si>
    <t>ESTIMATED IMPACT OF PROPOSED ECAM ADJUSTMENT</t>
  </si>
  <si>
    <t>FROM ELECTRIC SALES TO ULTIMATE CONSUMERS</t>
  </si>
  <si>
    <t>DISTRIBUTED BY RATE SCHEDULES IN IDAHO</t>
  </si>
  <si>
    <t>ADJUSTED HISTORICAL 12 MONTHS ENDED DECEMBER 2020</t>
  </si>
  <si>
    <t/>
  </si>
  <si>
    <t xml:space="preserve">Present </t>
  </si>
  <si>
    <t>At Meter</t>
  </si>
  <si>
    <t>At</t>
  </si>
  <si>
    <t>ECAM Proposal</t>
  </si>
  <si>
    <t>Present</t>
  </si>
  <si>
    <t>Line</t>
  </si>
  <si>
    <t>Average</t>
  </si>
  <si>
    <t>Base</t>
  </si>
  <si>
    <t>MWh by Voltage</t>
  </si>
  <si>
    <t>Generation</t>
  </si>
  <si>
    <t>Rev</t>
  </si>
  <si>
    <t>Rate ¢/kWh</t>
  </si>
  <si>
    <t>ECAM Rev</t>
  </si>
  <si>
    <t>Net Change</t>
  </si>
  <si>
    <t>No.</t>
  </si>
  <si>
    <t>Description</t>
  </si>
  <si>
    <t>Sch.</t>
  </si>
  <si>
    <t>Customers</t>
  </si>
  <si>
    <t>MWH</t>
  </si>
  <si>
    <t>($000)</t>
  </si>
  <si>
    <t>S</t>
  </si>
  <si>
    <t>P</t>
  </si>
  <si>
    <t>T</t>
  </si>
  <si>
    <t>MWh</t>
  </si>
  <si>
    <t>%</t>
  </si>
  <si>
    <t>Residential</t>
  </si>
  <si>
    <t>Avg kWh</t>
  </si>
  <si>
    <t>Avg Bill Impact</t>
  </si>
  <si>
    <t>Residential Service</t>
  </si>
  <si>
    <t>Residential Optional TOD</t>
  </si>
  <si>
    <t>AGA Revenue</t>
  </si>
  <si>
    <t>Total Residential</t>
  </si>
  <si>
    <t>Commercial &amp; Industrial</t>
  </si>
  <si>
    <t>General Service - Large Power</t>
  </si>
  <si>
    <t>General Svc. - Lg. Power (R&amp;F)</t>
  </si>
  <si>
    <t>6A</t>
  </si>
  <si>
    <t>Subtotal-Schedule 6</t>
  </si>
  <si>
    <t>General Service - High Voltage</t>
  </si>
  <si>
    <t>Irrigation</t>
  </si>
  <si>
    <t>10</t>
  </si>
  <si>
    <t>General Service</t>
  </si>
  <si>
    <t>General Service (R&amp;F)</t>
  </si>
  <si>
    <t>23A</t>
  </si>
  <si>
    <t>Subtotal-Schedule 23</t>
  </si>
  <si>
    <t>General Service Optional TOD</t>
  </si>
  <si>
    <t>General Service Optional TOD (R&amp;F)</t>
  </si>
  <si>
    <t>35A</t>
  </si>
  <si>
    <t>Subtotal-Schedule 35</t>
  </si>
  <si>
    <t>Special Contract</t>
  </si>
  <si>
    <t>Total Commercial &amp; Industrial</t>
  </si>
  <si>
    <t>Public Street Lighting</t>
  </si>
  <si>
    <t>Security Area Lighting</t>
  </si>
  <si>
    <t>Security Area Lighting (R&amp;F)</t>
  </si>
  <si>
    <t>7A</t>
  </si>
  <si>
    <t>Street Lighting - Company</t>
  </si>
  <si>
    <t>Street Lighting - Customer</t>
  </si>
  <si>
    <t>Total Public Street Lighting</t>
  </si>
  <si>
    <t>Total Sales to Ultimate Customers</t>
  </si>
  <si>
    <t>Total Excluding Special Contract 400</t>
  </si>
  <si>
    <t>Rev. Rqmt</t>
  </si>
  <si>
    <t>Unallocated</t>
  </si>
  <si>
    <t>Allocated</t>
  </si>
  <si>
    <t>Proposed Rates</t>
  </si>
  <si>
    <t>Current Rates</t>
  </si>
  <si>
    <t>Voltage Line Loss Factors applied to rates (2018 Study):</t>
  </si>
  <si>
    <t>Tariff Customer ECAM deferral and Rate (cents/kWh):</t>
  </si>
  <si>
    <t>Tariff Customer Rate</t>
  </si>
  <si>
    <t>REC Adjustment and Rate (cents/kWh):</t>
  </si>
  <si>
    <t>Schedule 400 Rate</t>
  </si>
  <si>
    <t>Total Idaho ECAM Rate (cents/kWh):</t>
  </si>
  <si>
    <t>REC Adj</t>
  </si>
  <si>
    <t>Summary Table of Deferred ECAM Balance</t>
  </si>
  <si>
    <t>NPC Differential for Deferral</t>
  </si>
  <si>
    <t>EITF 04-6 Adjustment</t>
  </si>
  <si>
    <t>LCAR</t>
  </si>
  <si>
    <t>Total Deferral Before Sharing</t>
  </si>
  <si>
    <t>Sharing Band</t>
  </si>
  <si>
    <t>Customer Responsibility</t>
  </si>
  <si>
    <t>Production Tax Credits</t>
  </si>
  <si>
    <t>REP QF Adjustment</t>
  </si>
  <si>
    <t>Wind Liquidated Damages</t>
  </si>
  <si>
    <t>REC Deferral</t>
  </si>
  <si>
    <t>Interest on Deferral</t>
  </si>
  <si>
    <t>Annual Deferral (Jan - Dec 2022)</t>
  </si>
  <si>
    <t>Unamortized Previous Balance</t>
  </si>
  <si>
    <t>Total ECAM Rider Revenues</t>
  </si>
  <si>
    <t>Total Company Recovery</t>
  </si>
  <si>
    <t>Table 2</t>
  </si>
  <si>
    <t>Balancing Account Activity</t>
  </si>
  <si>
    <t>ECAM Deferral Balance</t>
  </si>
  <si>
    <t>Deferral Balance - Dec 31, 2021</t>
  </si>
  <si>
    <t>Interest</t>
  </si>
  <si>
    <t>ECAM Revenue Collection - Schedule 94</t>
  </si>
  <si>
    <t>December 31, 2022 Balance For Collection</t>
  </si>
  <si>
    <t>Schedule 94 Collection - Jan - May 2022</t>
  </si>
  <si>
    <t>Expected Balance as of June 1, 2022</t>
  </si>
  <si>
    <t>Forecast</t>
  </si>
  <si>
    <t>Actual</t>
  </si>
  <si>
    <t>Customer</t>
  </si>
  <si>
    <t>Month</t>
  </si>
  <si>
    <t>Avg Rate</t>
  </si>
  <si>
    <t>Present Rate</t>
  </si>
  <si>
    <t>State Cd</t>
  </si>
  <si>
    <t>GENMONTH</t>
  </si>
  <si>
    <t>REV-ECAM</t>
  </si>
  <si>
    <t>KWH-ECAM</t>
  </si>
  <si>
    <t>*</t>
  </si>
  <si>
    <t>Sch 400</t>
  </si>
  <si>
    <t>**</t>
  </si>
  <si>
    <t>Tariff Customers</t>
  </si>
  <si>
    <t>Forecast Summary</t>
  </si>
  <si>
    <t>Interest Rate</t>
  </si>
  <si>
    <t>Balance</t>
  </si>
  <si>
    <t>ECAM Rev*</t>
  </si>
  <si>
    <t>Beginning</t>
  </si>
  <si>
    <t>Ending</t>
  </si>
  <si>
    <t>% of ECAM</t>
  </si>
  <si>
    <t>Total</t>
  </si>
  <si>
    <t>* Actual</t>
  </si>
  <si>
    <t>** Forecast</t>
  </si>
  <si>
    <t>ADJ</t>
  </si>
  <si>
    <t>REV-ECAM ADJ</t>
  </si>
  <si>
    <t>AVG RATE</t>
  </si>
  <si>
    <t>ID</t>
  </si>
  <si>
    <t>202201</t>
  </si>
  <si>
    <t>202202</t>
  </si>
  <si>
    <t>202204</t>
  </si>
  <si>
    <t>202205</t>
  </si>
  <si>
    <t>202206</t>
  </si>
  <si>
    <t>202207</t>
  </si>
  <si>
    <t>202209</t>
  </si>
  <si>
    <t>202210</t>
  </si>
  <si>
    <t>202211</t>
  </si>
  <si>
    <t>202212</t>
  </si>
  <si>
    <t>202301</t>
  </si>
  <si>
    <t>202302</t>
  </si>
  <si>
    <t>202203</t>
  </si>
  <si>
    <t>202208</t>
  </si>
  <si>
    <t>Total Idaho</t>
  </si>
  <si>
    <t>TABLE A</t>
  </si>
  <si>
    <t>06</t>
  </si>
  <si>
    <t>01</t>
  </si>
  <si>
    <t>Present Rev ($000)</t>
  </si>
  <si>
    <t>Proposed Rev ($000)</t>
  </si>
  <si>
    <t>Change</t>
  </si>
  <si>
    <t>Cust</t>
  </si>
  <si>
    <t>ECAM</t>
  </si>
  <si>
    <t>Net</t>
  </si>
  <si>
    <t>Net Rev</t>
  </si>
  <si>
    <t>SCHEDULE</t>
  </si>
  <si>
    <t>VOLTAGE</t>
  </si>
  <si>
    <t>TKWH</t>
  </si>
  <si>
    <t>Ratio</t>
  </si>
  <si>
    <t>SCH 6</t>
  </si>
  <si>
    <t>SCH 6A</t>
  </si>
  <si>
    <t>23</t>
  </si>
  <si>
    <t>23F</t>
  </si>
  <si>
    <t>Based on 2019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</si>
</sst>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&quot;$&quot;###0;[Red]\(&quot;$&quot;###0\)"/>
    <numFmt numFmtId="167" formatCode="0.0"/>
    <numFmt numFmtId="168" formatCode="_(* #,##0_);_(* \(#,##0\);_(* &quot;-&quot;??_);_(@_)"/>
    <numFmt numFmtId="169" formatCode="mmm\ dd\,\ yyyy"/>
    <numFmt numFmtId="170" formatCode="General_)"/>
    <numFmt numFmtId="171" formatCode="#,##0.00000_);\(#,##0.00000\)"/>
    <numFmt numFmtId="172" formatCode="#,##0;\(#,##0\)"/>
    <numFmt numFmtId="173" formatCode="#,##0;\-#,##0"/>
    <numFmt numFmtId="174" formatCode="0.000"/>
    <numFmt numFmtId="175" formatCode="#,##0.000_);\(#,##0.000\)"/>
    <numFmt numFmtId="176" formatCode="_-* #,##0\ &quot;F&quot;_-;\-* #,##0\ &quot;F&quot;_-;_-* &quot;-&quot;\ &quot;F&quot;_-;_-@_-"/>
    <numFmt numFmtId="177" formatCode="_(* #,##0.00_);[Red]_(* \(#,##0.00\);_(* &quot;-&quot;??_);_(@_)"/>
    <numFmt numFmtId="178" formatCode="mmmm\ d\,\ yyyy"/>
    <numFmt numFmtId="179" formatCode="0.000%"/>
    <numFmt numFmtId="180" formatCode="########\-###\-###"/>
    <numFmt numFmtId="181" formatCode="#,##0.000;[Red]\-#,##0.000"/>
    <numFmt numFmtId="182" formatCode="_(* #,##0_);[Red]_(* \(#,##0\);_(* &quot;-&quot;_);_(@_)"/>
    <numFmt numFmtId="183" formatCode="#,##0.0_);\(#,##0.0\);\-\ ;"/>
    <numFmt numFmtId="184" formatCode="#,##0.0000"/>
    <numFmt numFmtId="185" formatCode="&quot;$&quot;#,##0.00"/>
    <numFmt numFmtId="186" formatCode="&quot;$&quot;#,##0.000"/>
    <numFmt numFmtId="187" formatCode="&quot;$&quot;#,##0"/>
    <numFmt numFmtId="188" formatCode="&quot;$&quot;#,##0.0000"/>
    <numFmt numFmtId="189" formatCode="&quot;$&quot;#,##0.00000"/>
    <numFmt numFmtId="190" formatCode="_(&quot;$&quot;* #,##0_);_(&quot;$&quot;* \(#,##0\);_(&quot;$&quot;* &quot;-&quot;??_);_(@_)"/>
    <numFmt numFmtId="191" formatCode="#,##0.000"/>
    <numFmt numFmtId="192" formatCode="#,##0.000;\-#,##0.000"/>
    <numFmt numFmtId="193" formatCode="&quot;$&quot;#,##0.0_);\(&quot;$&quot;#,##0.0\)"/>
    <numFmt numFmtId="194" formatCode="0.0000%"/>
  </numFmts>
  <fonts count="7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Schoolbook"/>
      <family val="2"/>
    </font>
    <font>
      <sz val="12"/>
      <name val="TimesNewRomanPS"/>
    </font>
    <font>
      <sz val="10"/>
      <color indexed="8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7"/>
      <name val="Arial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2"/>
      <name val="Arial MT"/>
    </font>
    <font>
      <sz val="10"/>
      <name val="Swiss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0"/>
      <color indexed="8"/>
      <name val="Arial"/>
      <family val="2"/>
      <charset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Geneva"/>
    </font>
    <font>
      <sz val="10"/>
      <color theme="1"/>
      <name val="Arial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1"/>
      <name val="Geneva"/>
    </font>
    <font>
      <sz val="8"/>
      <color indexed="1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FF"/>
      <name val="Arial"/>
      <family val="2"/>
    </font>
    <font>
      <u/>
      <sz val="10"/>
      <color rgb="FF0000FF"/>
      <name val="Times New Roman"/>
      <family val="1"/>
    </font>
    <font>
      <b/>
      <sz val="10"/>
      <color rgb="FF0000FF"/>
      <name val="Arial"/>
      <family val="2"/>
    </font>
    <font>
      <sz val="10"/>
      <name val="Arial"/>
      <family val="2"/>
    </font>
    <font>
      <sz val="10"/>
      <color rgb="FF0000FF"/>
      <name val="Arial"/>
      <family val="2"/>
      <charset val="1"/>
    </font>
    <font>
      <b/>
      <sz val="12"/>
      <color theme="1"/>
      <name val="Times New Roman"/>
      <family val="1"/>
    </font>
    <font>
      <u/>
      <sz val="10"/>
      <color indexed="8"/>
      <name val="Times New Roman"/>
      <family val="1"/>
    </font>
    <font>
      <sz val="10"/>
      <color rgb="FF0000FF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8">
    <xf numFmtId="0" fontId="0" fillId="0" borderId="0"/>
    <xf numFmtId="0" fontId="6" fillId="0" borderId="0"/>
    <xf numFmtId="0" fontId="8" fillId="0" borderId="0"/>
    <xf numFmtId="0" fontId="10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14" fillId="0" borderId="0" applyFont="0" applyFill="0" applyBorder="0" applyProtection="0">
      <alignment horizontal="right"/>
    </xf>
    <xf numFmtId="0" fontId="15" fillId="0" borderId="0" applyFont="0" applyFill="0" applyBorder="0" applyAlignment="0" applyProtection="0">
      <alignment horizontal="left"/>
    </xf>
    <xf numFmtId="167" fontId="16" fillId="0" borderId="0" applyNumberFormat="0" applyFill="0" applyBorder="0" applyAlignment="0" applyProtection="0"/>
    <xf numFmtId="168" fontId="17" fillId="0" borderId="0" applyFont="0" applyAlignment="0" applyProtection="0"/>
    <xf numFmtId="0" fontId="18" fillId="0" borderId="4" applyNumberFormat="0" applyBorder="0" applyAlignment="0"/>
    <xf numFmtId="0" fontId="11" fillId="0" borderId="0">
      <alignment wrapText="1"/>
    </xf>
    <xf numFmtId="0" fontId="5" fillId="0" borderId="0"/>
    <xf numFmtId="0" fontId="12" fillId="0" borderId="0"/>
    <xf numFmtId="0" fontId="11" fillId="0" borderId="0">
      <alignment wrapText="1"/>
    </xf>
    <xf numFmtId="0" fontId="9" fillId="0" borderId="0"/>
    <xf numFmtId="0" fontId="11" fillId="0" borderId="0"/>
    <xf numFmtId="0" fontId="13" fillId="0" borderId="0"/>
    <xf numFmtId="0" fontId="19" fillId="0" borderId="0"/>
    <xf numFmtId="0" fontId="13" fillId="0" borderId="0"/>
    <xf numFmtId="0" fontId="8" fillId="0" borderId="0"/>
    <xf numFmtId="0" fontId="5" fillId="0" borderId="0"/>
    <xf numFmtId="0" fontId="11" fillId="0" borderId="0"/>
    <xf numFmtId="41" fontId="20" fillId="0" borderId="0" applyFont="0" applyFill="0" applyBorder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12" fontId="21" fillId="3" borderId="5">
      <alignment horizontal="left"/>
    </xf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22" fillId="4" borderId="6" applyNumberFormat="0" applyProtection="0">
      <alignment vertical="center"/>
    </xf>
    <xf numFmtId="4" fontId="23" fillId="5" borderId="6" applyNumberFormat="0" applyProtection="0">
      <alignment vertical="center"/>
    </xf>
    <xf numFmtId="4" fontId="22" fillId="5" borderId="6" applyNumberFormat="0" applyProtection="0">
      <alignment vertical="center"/>
    </xf>
    <xf numFmtId="0" fontId="22" fillId="5" borderId="6" applyNumberFormat="0" applyProtection="0">
      <alignment horizontal="left" vertical="top" indent="1"/>
    </xf>
    <xf numFmtId="4" fontId="22" fillId="6" borderId="7" applyNumberFormat="0" applyProtection="0">
      <alignment vertical="center"/>
    </xf>
    <xf numFmtId="4" fontId="24" fillId="7" borderId="6" applyNumberFormat="0" applyProtection="0">
      <alignment horizontal="right" vertical="center"/>
    </xf>
    <xf numFmtId="4" fontId="24" fillId="8" borderId="6" applyNumberFormat="0" applyProtection="0">
      <alignment horizontal="right" vertical="center"/>
    </xf>
    <xf numFmtId="4" fontId="24" fillId="9" borderId="6" applyNumberFormat="0" applyProtection="0">
      <alignment horizontal="right" vertical="center"/>
    </xf>
    <xf numFmtId="4" fontId="24" fillId="10" borderId="6" applyNumberFormat="0" applyProtection="0">
      <alignment horizontal="right" vertical="center"/>
    </xf>
    <xf numFmtId="4" fontId="24" fillId="11" borderId="6" applyNumberFormat="0" applyProtection="0">
      <alignment horizontal="right" vertical="center"/>
    </xf>
    <xf numFmtId="4" fontId="24" fillId="12" borderId="6" applyNumberFormat="0" applyProtection="0">
      <alignment horizontal="right" vertical="center"/>
    </xf>
    <xf numFmtId="4" fontId="24" fillId="13" borderId="6" applyNumberFormat="0" applyProtection="0">
      <alignment horizontal="right" vertical="center"/>
    </xf>
    <xf numFmtId="4" fontId="24" fillId="14" borderId="6" applyNumberFormat="0" applyProtection="0">
      <alignment horizontal="right" vertical="center"/>
    </xf>
    <xf numFmtId="4" fontId="24" fillId="15" borderId="6" applyNumberFormat="0" applyProtection="0">
      <alignment horizontal="right" vertical="center"/>
    </xf>
    <xf numFmtId="4" fontId="22" fillId="16" borderId="8" applyNumberFormat="0" applyProtection="0">
      <alignment horizontal="left" vertical="center" indent="1"/>
    </xf>
    <xf numFmtId="4" fontId="24" fillId="17" borderId="0" applyNumberFormat="0" applyProtection="0">
      <alignment horizontal="left" vertical="center" indent="1"/>
    </xf>
    <xf numFmtId="4" fontId="25" fillId="18" borderId="0" applyNumberFormat="0" applyProtection="0">
      <alignment horizontal="left" vertical="center" indent="1"/>
    </xf>
    <xf numFmtId="4" fontId="24" fillId="19" borderId="6" applyNumberFormat="0" applyProtection="0">
      <alignment horizontal="right" vertical="center"/>
    </xf>
    <xf numFmtId="4" fontId="26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11" fillId="18" borderId="6" applyNumberFormat="0" applyProtection="0">
      <alignment horizontal="left" vertical="center" indent="1"/>
    </xf>
    <xf numFmtId="0" fontId="11" fillId="18" borderId="6" applyNumberFormat="0" applyProtection="0">
      <alignment horizontal="left" vertical="top" indent="1"/>
    </xf>
    <xf numFmtId="0" fontId="11" fillId="6" borderId="6" applyNumberFormat="0" applyProtection="0">
      <alignment horizontal="left" vertical="center" indent="1"/>
    </xf>
    <xf numFmtId="0" fontId="11" fillId="6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4" fontId="24" fillId="22" borderId="6" applyNumberFormat="0" applyProtection="0">
      <alignment vertical="center"/>
    </xf>
    <xf numFmtId="4" fontId="28" fillId="22" borderId="6" applyNumberFormat="0" applyProtection="0">
      <alignment vertical="center"/>
    </xf>
    <xf numFmtId="4" fontId="24" fillId="22" borderId="6" applyNumberFormat="0" applyProtection="0">
      <alignment horizontal="left" vertical="center" indent="1"/>
    </xf>
    <xf numFmtId="0" fontId="24" fillId="22" borderId="6" applyNumberFormat="0" applyProtection="0">
      <alignment horizontal="left" vertical="top" indent="1"/>
    </xf>
    <xf numFmtId="4" fontId="24" fillId="23" borderId="9" applyNumberFormat="0" applyProtection="0">
      <alignment horizontal="right" vertical="center"/>
    </xf>
    <xf numFmtId="4" fontId="28" fillId="17" borderId="6" applyNumberFormat="0" applyProtection="0">
      <alignment horizontal="right" vertical="center"/>
    </xf>
    <xf numFmtId="4" fontId="24" fillId="23" borderId="6" applyNumberFormat="0" applyProtection="0">
      <alignment horizontal="left" vertical="center" indent="1"/>
    </xf>
    <xf numFmtId="0" fontId="24" fillId="6" borderId="6" applyNumberFormat="0" applyProtection="0">
      <alignment horizontal="center" vertical="top"/>
    </xf>
    <xf numFmtId="4" fontId="29" fillId="0" borderId="0" applyNumberFormat="0" applyProtection="0">
      <alignment horizontal="left" vertical="center"/>
    </xf>
    <xf numFmtId="4" fontId="30" fillId="17" borderId="6" applyNumberFormat="0" applyProtection="0">
      <alignment horizontal="right" vertical="center"/>
    </xf>
    <xf numFmtId="169" fontId="11" fillId="0" borderId="0" applyFill="0" applyBorder="0" applyAlignment="0" applyProtection="0">
      <alignment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170" fontId="32" fillId="0" borderId="0">
      <alignment horizontal="left"/>
    </xf>
    <xf numFmtId="37" fontId="18" fillId="5" borderId="0" applyNumberFormat="0" applyBorder="0" applyAlignment="0" applyProtection="0"/>
    <xf numFmtId="37" fontId="18" fillId="0" borderId="0"/>
    <xf numFmtId="3" fontId="33" fillId="24" borderId="10" applyProtection="0"/>
    <xf numFmtId="168" fontId="9" fillId="0" borderId="0"/>
    <xf numFmtId="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36" borderId="25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31" fillId="37" borderId="0" applyNumberFormat="0" applyBorder="0" applyAlignment="0" applyProtection="0"/>
    <xf numFmtId="0" fontId="42" fillId="38" borderId="26" applyNumberFormat="0" applyAlignment="0" applyProtection="0"/>
    <xf numFmtId="0" fontId="42" fillId="38" borderId="26" applyNumberFormat="0" applyAlignment="0" applyProtection="0"/>
    <xf numFmtId="0" fontId="42" fillId="38" borderId="26" applyNumberFormat="0" applyAlignment="0" applyProtection="0"/>
    <xf numFmtId="0" fontId="42" fillId="38" borderId="26" applyNumberFormat="0" applyAlignment="0" applyProtection="0"/>
    <xf numFmtId="0" fontId="42" fillId="38" borderId="26" applyNumberFormat="0" applyAlignment="0" applyProtection="0"/>
    <xf numFmtId="0" fontId="43" fillId="39" borderId="27" applyNumberFormat="0" applyAlignment="0" applyProtection="0"/>
    <xf numFmtId="0" fontId="43" fillId="39" borderId="27" applyNumberFormat="0" applyAlignment="0" applyProtection="0"/>
    <xf numFmtId="0" fontId="43" fillId="39" borderId="27" applyNumberFormat="0" applyAlignment="0" applyProtection="0"/>
    <xf numFmtId="0" fontId="43" fillId="39" borderId="27" applyNumberFormat="0" applyAlignment="0" applyProtection="0"/>
    <xf numFmtId="0" fontId="43" fillId="39" borderId="27" applyNumberFormat="0" applyAlignment="0" applyProtection="0"/>
    <xf numFmtId="0" fontId="44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" fontId="45" fillId="0" borderId="0"/>
    <xf numFmtId="41" fontId="11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7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37" fontId="11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8" fillId="0" borderId="0"/>
    <xf numFmtId="0" fontId="48" fillId="0" borderId="0"/>
    <xf numFmtId="0" fontId="48" fillId="0" borderId="0"/>
    <xf numFmtId="178" fontId="11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8" fontId="18" fillId="40" borderId="0" applyNumberFormat="0" applyBorder="0" applyAlignment="0" applyProtection="0"/>
    <xf numFmtId="38" fontId="18" fillId="40" borderId="0" applyNumberFormat="0" applyBorder="0" applyAlignment="0" applyProtection="0"/>
    <xf numFmtId="38" fontId="18" fillId="40" borderId="0" applyNumberFormat="0" applyBorder="0" applyAlignment="0" applyProtection="0"/>
    <xf numFmtId="0" fontId="51" fillId="0" borderId="0"/>
    <xf numFmtId="0" fontId="21" fillId="0" borderId="24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11" fillId="0" borderId="0">
      <protection locked="0"/>
    </xf>
    <xf numFmtId="179" fontId="11" fillId="0" borderId="0"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10" fontId="18" fillId="22" borderId="25" applyNumberFormat="0" applyBorder="0" applyAlignment="0" applyProtection="0"/>
    <xf numFmtId="10" fontId="18" fillId="22" borderId="25" applyNumberFormat="0" applyBorder="0" applyAlignment="0" applyProtection="0"/>
    <xf numFmtId="10" fontId="18" fillId="22" borderId="25" applyNumberFormat="0" applyBorder="0" applyAlignment="0" applyProtection="0"/>
    <xf numFmtId="38" fontId="54" fillId="0" borderId="0">
      <alignment horizontal="left" wrapText="1"/>
    </xf>
    <xf numFmtId="38" fontId="55" fillId="0" borderId="0">
      <alignment horizontal="left" wrapText="1"/>
    </xf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7" fillId="41" borderId="0"/>
    <xf numFmtId="0" fontId="57" fillId="42" borderId="0"/>
    <xf numFmtId="0" fontId="31" fillId="43" borderId="21" applyBorder="0"/>
    <xf numFmtId="0" fontId="11" fillId="44" borderId="20" applyNumberFormat="0" applyFont="0" applyBorder="0" applyAlignment="0" applyProtection="0"/>
    <xf numFmtId="180" fontId="11" fillId="0" borderId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8" fillId="0" borderId="4" applyNumberFormat="0" applyBorder="0" applyAlignment="0"/>
    <xf numFmtId="0" fontId="18" fillId="0" borderId="4" applyNumberFormat="0" applyBorder="0" applyAlignment="0"/>
    <xf numFmtId="181" fontId="11" fillId="0" borderId="0"/>
    <xf numFmtId="181" fontId="11" fillId="0" borderId="0"/>
    <xf numFmtId="181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wrapText="1"/>
    </xf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0" fontId="11" fillId="0" borderId="0"/>
    <xf numFmtId="41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182" fontId="11" fillId="0" borderId="0"/>
    <xf numFmtId="0" fontId="3" fillId="0" borderId="0"/>
    <xf numFmtId="41" fontId="11" fillId="0" borderId="0"/>
    <xf numFmtId="0" fontId="11" fillId="0" borderId="0"/>
    <xf numFmtId="37" fontId="48" fillId="0" borderId="0"/>
    <xf numFmtId="0" fontId="11" fillId="45" borderId="30" applyNumberFormat="0" applyFont="0" applyAlignment="0" applyProtection="0"/>
    <xf numFmtId="0" fontId="11" fillId="45" borderId="30" applyNumberFormat="0" applyFont="0" applyAlignment="0" applyProtection="0"/>
    <xf numFmtId="0" fontId="11" fillId="45" borderId="30" applyNumberFormat="0" applyFont="0" applyAlignment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0" fontId="59" fillId="38" borderId="31" applyNumberFormat="0" applyAlignment="0" applyProtection="0"/>
    <xf numFmtId="0" fontId="59" fillId="38" borderId="31" applyNumberFormat="0" applyAlignment="0" applyProtection="0"/>
    <xf numFmtId="0" fontId="59" fillId="38" borderId="31" applyNumberFormat="0" applyAlignment="0" applyProtection="0"/>
    <xf numFmtId="0" fontId="59" fillId="38" borderId="31" applyNumberFormat="0" applyAlignment="0" applyProtection="0"/>
    <xf numFmtId="0" fontId="59" fillId="38" borderId="31" applyNumberFormat="0" applyAlignment="0" applyProtection="0"/>
    <xf numFmtId="0" fontId="48" fillId="0" borderId="0"/>
    <xf numFmtId="0" fontId="48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0" fillId="0" borderId="0"/>
    <xf numFmtId="4" fontId="25" fillId="18" borderId="0" applyNumberFormat="0" applyProtection="0">
      <alignment horizontal="left" vertical="center" indent="1"/>
    </xf>
    <xf numFmtId="4" fontId="25" fillId="18" borderId="0" applyNumberFormat="0" applyProtection="0">
      <alignment horizontal="left" vertical="center" indent="1"/>
    </xf>
    <xf numFmtId="4" fontId="61" fillId="46" borderId="0" applyNumberFormat="0" applyProtection="0">
      <alignment horizontal="left" indent="1"/>
    </xf>
    <xf numFmtId="4" fontId="61" fillId="46" borderId="0" applyNumberFormat="0" applyProtection="0">
      <alignment horizontal="left" indent="1"/>
    </xf>
    <xf numFmtId="4" fontId="61" fillId="46" borderId="0" applyNumberFormat="0" applyProtection="0">
      <alignment horizontal="left" indent="1"/>
    </xf>
    <xf numFmtId="4" fontId="27" fillId="47" borderId="0" applyNumberFormat="0" applyProtection="0"/>
    <xf numFmtId="4" fontId="27" fillId="47" borderId="0" applyNumberFormat="0" applyProtection="0"/>
    <xf numFmtId="4" fontId="27" fillId="47" borderId="0" applyNumberFormat="0" applyProtection="0"/>
    <xf numFmtId="0" fontId="11" fillId="18" borderId="6" applyNumberFormat="0" applyProtection="0">
      <alignment horizontal="left" vertical="center" indent="1"/>
    </xf>
    <xf numFmtId="0" fontId="11" fillId="18" borderId="6" applyNumberFormat="0" applyProtection="0">
      <alignment horizontal="left" vertical="center" indent="1"/>
    </xf>
    <xf numFmtId="0" fontId="11" fillId="18" borderId="6" applyNumberFormat="0" applyProtection="0">
      <alignment horizontal="left" vertical="center" indent="1"/>
    </xf>
    <xf numFmtId="0" fontId="11" fillId="18" borderId="6" applyNumberFormat="0" applyProtection="0">
      <alignment horizontal="left" vertical="center" indent="1"/>
    </xf>
    <xf numFmtId="0" fontId="11" fillId="18" borderId="6" applyNumberFormat="0" applyProtection="0">
      <alignment horizontal="left" vertical="center" indent="1"/>
    </xf>
    <xf numFmtId="0" fontId="11" fillId="18" borderId="6" applyNumberFormat="0" applyProtection="0">
      <alignment horizontal="left" vertical="top" indent="1"/>
    </xf>
    <xf numFmtId="0" fontId="11" fillId="18" borderId="6" applyNumberFormat="0" applyProtection="0">
      <alignment horizontal="left" vertical="top" indent="1"/>
    </xf>
    <xf numFmtId="0" fontId="11" fillId="18" borderId="6" applyNumberFormat="0" applyProtection="0">
      <alignment horizontal="left" vertical="top" indent="1"/>
    </xf>
    <xf numFmtId="0" fontId="11" fillId="18" borderId="6" applyNumberFormat="0" applyProtection="0">
      <alignment horizontal="left" vertical="top" indent="1"/>
    </xf>
    <xf numFmtId="0" fontId="11" fillId="18" borderId="6" applyNumberFormat="0" applyProtection="0">
      <alignment horizontal="left" vertical="top" indent="1"/>
    </xf>
    <xf numFmtId="0" fontId="11" fillId="6" borderId="6" applyNumberFormat="0" applyProtection="0">
      <alignment horizontal="left" vertical="center" indent="1"/>
    </xf>
    <xf numFmtId="0" fontId="11" fillId="6" borderId="6" applyNumberFormat="0" applyProtection="0">
      <alignment horizontal="left" vertical="center" indent="1"/>
    </xf>
    <xf numFmtId="0" fontId="11" fillId="6" borderId="6" applyNumberFormat="0" applyProtection="0">
      <alignment horizontal="left" vertical="center" indent="1"/>
    </xf>
    <xf numFmtId="0" fontId="11" fillId="6" borderId="6" applyNumberFormat="0" applyProtection="0">
      <alignment horizontal="left" vertical="center" indent="1"/>
    </xf>
    <xf numFmtId="0" fontId="11" fillId="6" borderId="6" applyNumberFormat="0" applyProtection="0">
      <alignment horizontal="left" vertical="center" indent="1"/>
    </xf>
    <xf numFmtId="0" fontId="11" fillId="6" borderId="6" applyNumberFormat="0" applyProtection="0">
      <alignment horizontal="left" vertical="top" indent="1"/>
    </xf>
    <xf numFmtId="0" fontId="11" fillId="6" borderId="6" applyNumberFormat="0" applyProtection="0">
      <alignment horizontal="left" vertical="top" indent="1"/>
    </xf>
    <xf numFmtId="0" fontId="11" fillId="6" borderId="6" applyNumberFormat="0" applyProtection="0">
      <alignment horizontal="left" vertical="top" indent="1"/>
    </xf>
    <xf numFmtId="0" fontId="11" fillId="6" borderId="6" applyNumberFormat="0" applyProtection="0">
      <alignment horizontal="left" vertical="top" indent="1"/>
    </xf>
    <xf numFmtId="0" fontId="11" fillId="6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0" borderId="6" applyNumberFormat="0" applyProtection="0">
      <alignment horizontal="left" vertical="top" indent="1"/>
    </xf>
    <xf numFmtId="0" fontId="11" fillId="20" borderId="6" applyNumberFormat="0" applyProtection="0">
      <alignment horizontal="left" vertical="top" indent="1"/>
    </xf>
    <xf numFmtId="0" fontId="11" fillId="20" borderId="6" applyNumberFormat="0" applyProtection="0">
      <alignment horizontal="left" vertical="top" indent="1"/>
    </xf>
    <xf numFmtId="0" fontId="11" fillId="20" borderId="6" applyNumberFormat="0" applyProtection="0">
      <alignment horizontal="left" vertical="top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21" borderId="6" applyNumberFormat="0" applyProtection="0">
      <alignment horizontal="left" vertical="top" indent="1"/>
    </xf>
    <xf numFmtId="0" fontId="11" fillId="21" borderId="6" applyNumberFormat="0" applyProtection="0">
      <alignment horizontal="left" vertical="top" indent="1"/>
    </xf>
    <xf numFmtId="0" fontId="11" fillId="21" borderId="6" applyNumberFormat="0" applyProtection="0">
      <alignment horizontal="left" vertical="top" indent="1"/>
    </xf>
    <xf numFmtId="0" fontId="11" fillId="21" borderId="6" applyNumberFormat="0" applyProtection="0">
      <alignment horizontal="left" vertical="top" indent="1"/>
    </xf>
    <xf numFmtId="4" fontId="62" fillId="48" borderId="0" applyNumberFormat="0" applyProtection="0">
      <alignment horizontal="left"/>
    </xf>
    <xf numFmtId="4" fontId="62" fillId="48" borderId="0" applyNumberFormat="0" applyProtection="0">
      <alignment horizontal="left"/>
    </xf>
    <xf numFmtId="4" fontId="62" fillId="48" borderId="0" applyNumberFormat="0" applyProtection="0">
      <alignment horizontal="left"/>
    </xf>
    <xf numFmtId="37" fontId="19" fillId="49" borderId="0" applyNumberFormat="0" applyFont="0" applyBorder="0" applyAlignment="0" applyProtection="0"/>
    <xf numFmtId="184" fontId="11" fillId="0" borderId="16">
      <alignment horizontal="justify" vertical="top" wrapText="1"/>
    </xf>
    <xf numFmtId="184" fontId="11" fillId="0" borderId="16">
      <alignment horizontal="justify" vertical="top" wrapText="1"/>
    </xf>
    <xf numFmtId="184" fontId="11" fillId="0" borderId="16">
      <alignment horizontal="justify" vertical="top" wrapText="1"/>
    </xf>
    <xf numFmtId="0" fontId="11" fillId="0" borderId="0">
      <alignment horizontal="left" wrapText="1"/>
    </xf>
    <xf numFmtId="38" fontId="11" fillId="0" borderId="0">
      <alignment horizontal="left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25">
      <alignment horizontal="center" vertical="center" wrapText="1"/>
    </xf>
    <xf numFmtId="0" fontId="48" fillId="0" borderId="32"/>
    <xf numFmtId="0" fontId="48" fillId="0" borderId="33"/>
    <xf numFmtId="38" fontId="24" fillId="0" borderId="15" applyFill="0" applyBorder="0" applyAlignment="0" applyProtection="0">
      <protection locked="0"/>
    </xf>
    <xf numFmtId="37" fontId="18" fillId="5" borderId="0" applyNumberFormat="0" applyBorder="0" applyAlignment="0" applyProtection="0"/>
    <xf numFmtId="37" fontId="18" fillId="5" borderId="0" applyNumberFormat="0" applyBorder="0" applyAlignment="0" applyProtection="0"/>
    <xf numFmtId="37" fontId="18" fillId="0" borderId="0"/>
    <xf numFmtId="37" fontId="18" fillId="0" borderId="0"/>
    <xf numFmtId="37" fontId="18" fillId="0" borderId="0"/>
    <xf numFmtId="37" fontId="18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3">
    <xf numFmtId="0" fontId="0" fillId="0" borderId="0" xfId="0"/>
    <xf numFmtId="164" fontId="7" fillId="0" borderId="0" xfId="3" applyNumberFormat="1" applyFont="1" applyAlignment="1">
      <alignment horizontal="center"/>
    </xf>
    <xf numFmtId="37" fontId="7" fillId="0" borderId="0" xfId="3" applyNumberFormat="1" applyFont="1" applyAlignment="1">
      <alignment horizontal="center"/>
    </xf>
    <xf numFmtId="42" fontId="7" fillId="0" borderId="0" xfId="1" applyNumberFormat="1" applyFont="1" applyAlignment="1">
      <alignment horizontal="center"/>
    </xf>
    <xf numFmtId="164" fontId="7" fillId="0" borderId="0" xfId="1" applyNumberFormat="1" applyFont="1"/>
    <xf numFmtId="185" fontId="31" fillId="0" borderId="0" xfId="0" applyNumberFormat="1" applyFont="1"/>
    <xf numFmtId="186" fontId="0" fillId="0" borderId="0" xfId="0" applyNumberFormat="1"/>
    <xf numFmtId="188" fontId="0" fillId="0" borderId="0" xfId="0" applyNumberFormat="1"/>
    <xf numFmtId="189" fontId="0" fillId="0" borderId="0" xfId="0" applyNumberFormat="1"/>
    <xf numFmtId="171" fontId="66" fillId="0" borderId="0" xfId="1" applyNumberFormat="1" applyFont="1"/>
    <xf numFmtId="171" fontId="66" fillId="0" borderId="0" xfId="1" applyNumberFormat="1" applyFont="1" applyAlignment="1">
      <alignment horizontal="center"/>
    </xf>
    <xf numFmtId="185" fontId="0" fillId="0" borderId="0" xfId="0" applyNumberFormat="1"/>
    <xf numFmtId="174" fontId="0" fillId="0" borderId="0" xfId="0" applyNumberFormat="1"/>
    <xf numFmtId="0" fontId="0" fillId="0" borderId="2" xfId="0" applyBorder="1"/>
    <xf numFmtId="0" fontId="34" fillId="25" borderId="42" xfId="0" applyFont="1" applyFill="1" applyBorder="1" applyAlignment="1" applyProtection="1">
      <alignment horizontal="center" vertical="top"/>
      <protection locked="0"/>
    </xf>
    <xf numFmtId="0" fontId="31" fillId="51" borderId="37" xfId="0" applyFont="1" applyFill="1" applyBorder="1" applyAlignment="1">
      <alignment horizontal="centerContinuous"/>
    </xf>
    <xf numFmtId="0" fontId="31" fillId="51" borderId="24" xfId="0" applyFont="1" applyFill="1" applyBorder="1" applyAlignment="1">
      <alignment horizontal="centerContinuous"/>
    </xf>
    <xf numFmtId="0" fontId="31" fillId="51" borderId="38" xfId="0" applyFont="1" applyFill="1" applyBorder="1" applyAlignment="1">
      <alignment horizontal="centerContinuous"/>
    </xf>
    <xf numFmtId="0" fontId="34" fillId="25" borderId="43" xfId="0" applyFont="1" applyFill="1" applyBorder="1" applyAlignment="1" applyProtection="1">
      <alignment horizontal="center" vertical="top"/>
      <protection locked="0"/>
    </xf>
    <xf numFmtId="0" fontId="34" fillId="25" borderId="44" xfId="0" applyFont="1" applyFill="1" applyBorder="1" applyAlignment="1" applyProtection="1">
      <alignment horizontal="center" vertical="top"/>
      <protection locked="0"/>
    </xf>
    <xf numFmtId="0" fontId="34" fillId="25" borderId="45" xfId="0" applyFont="1" applyFill="1" applyBorder="1" applyAlignment="1" applyProtection="1">
      <alignment horizontal="center" vertical="top"/>
      <protection locked="0"/>
    </xf>
    <xf numFmtId="174" fontId="0" fillId="0" borderId="2" xfId="0" applyNumberFormat="1" applyBorder="1"/>
    <xf numFmtId="0" fontId="31" fillId="0" borderId="0" xfId="0" applyFont="1"/>
    <xf numFmtId="0" fontId="11" fillId="0" borderId="0" xfId="0" applyFont="1"/>
    <xf numFmtId="0" fontId="31" fillId="0" borderId="0" xfId="0" applyFont="1" applyAlignment="1">
      <alignment horizontal="left"/>
    </xf>
    <xf numFmtId="0" fontId="65" fillId="0" borderId="0" xfId="0" applyFont="1"/>
    <xf numFmtId="0" fontId="67" fillId="50" borderId="37" xfId="0" applyFont="1" applyFill="1" applyBorder="1" applyAlignment="1">
      <alignment horizontal="centerContinuous"/>
    </xf>
    <xf numFmtId="0" fontId="67" fillId="50" borderId="24" xfId="0" applyFont="1" applyFill="1" applyBorder="1" applyAlignment="1">
      <alignment horizontal="centerContinuous"/>
    </xf>
    <xf numFmtId="0" fontId="67" fillId="50" borderId="38" xfId="0" applyFont="1" applyFill="1" applyBorder="1" applyAlignment="1">
      <alignment horizontal="centerContinuous"/>
    </xf>
    <xf numFmtId="0" fontId="65" fillId="25" borderId="39" xfId="0" applyFont="1" applyFill="1" applyBorder="1" applyAlignment="1" applyProtection="1">
      <alignment horizontal="center" vertical="top"/>
      <protection locked="0"/>
    </xf>
    <xf numFmtId="0" fontId="65" fillId="25" borderId="35" xfId="0" applyFont="1" applyFill="1" applyBorder="1" applyAlignment="1" applyProtection="1">
      <alignment horizontal="center" vertical="top"/>
      <protection locked="0"/>
    </xf>
    <xf numFmtId="0" fontId="65" fillId="25" borderId="42" xfId="0" applyFont="1" applyFill="1" applyBorder="1" applyAlignment="1" applyProtection="1">
      <alignment horizontal="center" vertical="top"/>
      <protection locked="0"/>
    </xf>
    <xf numFmtId="0" fontId="65" fillId="25" borderId="40" xfId="0" applyFont="1" applyFill="1" applyBorder="1" applyAlignment="1" applyProtection="1">
      <alignment horizontal="center" vertical="top"/>
      <protection locked="0"/>
    </xf>
    <xf numFmtId="0" fontId="65" fillId="25" borderId="34" xfId="0" applyFont="1" applyFill="1" applyBorder="1" applyAlignment="1" applyProtection="1">
      <alignment horizontal="center" vertical="top"/>
      <protection locked="0"/>
    </xf>
    <xf numFmtId="0" fontId="65" fillId="0" borderId="0" xfId="0" applyFont="1" applyAlignment="1">
      <alignment horizontal="center"/>
    </xf>
    <xf numFmtId="0" fontId="65" fillId="25" borderId="35" xfId="0" applyFont="1" applyFill="1" applyBorder="1" applyAlignment="1" applyProtection="1">
      <alignment horizontal="left" vertical="top"/>
      <protection locked="0"/>
    </xf>
    <xf numFmtId="0" fontId="65" fillId="25" borderId="41" xfId="0" applyFont="1" applyFill="1" applyBorder="1" applyAlignment="1" applyProtection="1">
      <alignment horizontal="left" vertical="top"/>
      <protection locked="0"/>
    </xf>
    <xf numFmtId="173" fontId="65" fillId="25" borderId="14" xfId="0" applyNumberFormat="1" applyFont="1" applyFill="1" applyBorder="1" applyAlignment="1" applyProtection="1">
      <alignment horizontal="right" vertical="top"/>
      <protection locked="0"/>
    </xf>
    <xf numFmtId="0" fontId="65" fillId="0" borderId="15" xfId="0" applyFont="1" applyBorder="1"/>
    <xf numFmtId="185" fontId="65" fillId="0" borderId="0" xfId="0" applyNumberFormat="1" applyFont="1"/>
    <xf numFmtId="0" fontId="65" fillId="25" borderId="15" xfId="0" applyFont="1" applyFill="1" applyBorder="1" applyAlignment="1" applyProtection="1">
      <alignment vertical="top"/>
      <protection locked="0"/>
    </xf>
    <xf numFmtId="0" fontId="65" fillId="25" borderId="16" xfId="0" applyFont="1" applyFill="1" applyBorder="1" applyAlignment="1" applyProtection="1">
      <alignment vertical="top"/>
      <protection locked="0"/>
    </xf>
    <xf numFmtId="187" fontId="0" fillId="0" borderId="0" xfId="0" applyNumberFormat="1"/>
    <xf numFmtId="187" fontId="0" fillId="0" borderId="2" xfId="0" applyNumberFormat="1" applyBorder="1"/>
    <xf numFmtId="0" fontId="31" fillId="51" borderId="2" xfId="0" applyFont="1" applyFill="1" applyBorder="1" applyAlignment="1">
      <alignment horizontal="centerContinuous"/>
    </xf>
    <xf numFmtId="185" fontId="31" fillId="51" borderId="2" xfId="0" applyNumberFormat="1" applyFont="1" applyFill="1" applyBorder="1" applyAlignment="1">
      <alignment horizontal="centerContinuous"/>
    </xf>
    <xf numFmtId="0" fontId="0" fillId="51" borderId="2" xfId="0" applyFill="1" applyBorder="1" applyAlignment="1">
      <alignment horizontal="centerContinuous"/>
    </xf>
    <xf numFmtId="0" fontId="0" fillId="51" borderId="0" xfId="0" applyFill="1"/>
    <xf numFmtId="0" fontId="31" fillId="51" borderId="11" xfId="0" applyFont="1" applyFill="1" applyBorder="1" applyAlignment="1">
      <alignment horizontal="centerContinuous"/>
    </xf>
    <xf numFmtId="0" fontId="0" fillId="51" borderId="11" xfId="0" applyFill="1" applyBorder="1" applyAlignment="1">
      <alignment horizontal="centerContinuous"/>
    </xf>
    <xf numFmtId="0" fontId="31" fillId="51" borderId="2" xfId="0" applyFont="1" applyFill="1" applyBorder="1" applyAlignment="1">
      <alignment horizontal="center"/>
    </xf>
    <xf numFmtId="187" fontId="0" fillId="51" borderId="0" xfId="0" applyNumberFormat="1" applyFill="1"/>
    <xf numFmtId="187" fontId="65" fillId="51" borderId="0" xfId="0" applyNumberFormat="1" applyFont="1" applyFill="1"/>
    <xf numFmtId="0" fontId="0" fillId="51" borderId="2" xfId="0" applyFill="1" applyBorder="1"/>
    <xf numFmtId="187" fontId="0" fillId="51" borderId="2" xfId="0" applyNumberFormat="1" applyFill="1" applyBorder="1"/>
    <xf numFmtId="0" fontId="31" fillId="51" borderId="3" xfId="0" applyFont="1" applyFill="1" applyBorder="1"/>
    <xf numFmtId="187" fontId="31" fillId="51" borderId="3" xfId="0" applyNumberFormat="1" applyFont="1" applyFill="1" applyBorder="1"/>
    <xf numFmtId="187" fontId="0" fillId="51" borderId="18" xfId="0" applyNumberFormat="1" applyFill="1" applyBorder="1"/>
    <xf numFmtId="0" fontId="37" fillId="0" borderId="0" xfId="0" applyFont="1"/>
    <xf numFmtId="0" fontId="34" fillId="25" borderId="14" xfId="0" applyFont="1" applyFill="1" applyBorder="1" applyAlignment="1" applyProtection="1">
      <alignment horizontal="center" vertical="top"/>
      <protection locked="0"/>
    </xf>
    <xf numFmtId="191" fontId="0" fillId="0" borderId="0" xfId="0" applyNumberFormat="1"/>
    <xf numFmtId="168" fontId="37" fillId="0" borderId="0" xfId="502" applyNumberFormat="1" applyFont="1" applyFill="1" applyBorder="1"/>
    <xf numFmtId="191" fontId="0" fillId="0" borderId="2" xfId="0" applyNumberFormat="1" applyBorder="1"/>
    <xf numFmtId="174" fontId="6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0" fontId="65" fillId="0" borderId="0" xfId="0" applyNumberFormat="1" applyFont="1" applyAlignment="1">
      <alignment horizontal="center"/>
    </xf>
    <xf numFmtId="0" fontId="11" fillId="0" borderId="2" xfId="0" applyFont="1" applyBorder="1"/>
    <xf numFmtId="0" fontId="11" fillId="51" borderId="0" xfId="0" applyFont="1" applyFill="1"/>
    <xf numFmtId="0" fontId="11" fillId="51" borderId="2" xfId="0" applyFont="1" applyFill="1" applyBorder="1"/>
    <xf numFmtId="187" fontId="65" fillId="25" borderId="14" xfId="0" applyNumberFormat="1" applyFont="1" applyFill="1" applyBorder="1" applyAlignment="1" applyProtection="1">
      <alignment horizontal="right" vertical="top"/>
      <protection locked="0"/>
    </xf>
    <xf numFmtId="7" fontId="69" fillId="0" borderId="0" xfId="0" applyNumberFormat="1" applyFont="1"/>
    <xf numFmtId="0" fontId="34" fillId="25" borderId="47" xfId="0" applyFont="1" applyFill="1" applyBorder="1" applyAlignment="1" applyProtection="1">
      <alignment horizontal="center" vertical="top"/>
      <protection locked="0"/>
    </xf>
    <xf numFmtId="173" fontId="0" fillId="0" borderId="0" xfId="0" applyNumberFormat="1"/>
    <xf numFmtId="0" fontId="35" fillId="0" borderId="21" xfId="0" applyFont="1" applyBorder="1"/>
    <xf numFmtId="0" fontId="70" fillId="0" borderId="20" xfId="0" applyFont="1" applyBorder="1" applyAlignment="1">
      <alignment horizontal="left" indent="1"/>
    </xf>
    <xf numFmtId="0" fontId="35" fillId="0" borderId="22" xfId="0" applyFont="1" applyBorder="1" applyAlignment="1">
      <alignment horizontal="left" indent="1"/>
    </xf>
    <xf numFmtId="190" fontId="35" fillId="50" borderId="0" xfId="503" applyNumberFormat="1" applyFont="1" applyFill="1" applyBorder="1"/>
    <xf numFmtId="190" fontId="70" fillId="0" borderId="18" xfId="503" applyNumberFormat="1" applyFont="1" applyFill="1" applyBorder="1"/>
    <xf numFmtId="168" fontId="35" fillId="0" borderId="2" xfId="502" applyNumberFormat="1" applyFont="1" applyFill="1" applyBorder="1"/>
    <xf numFmtId="0" fontId="35" fillId="0" borderId="23" xfId="0" applyFont="1" applyBorder="1"/>
    <xf numFmtId="173" fontId="34" fillId="0" borderId="14" xfId="0" applyNumberFormat="1" applyFont="1" applyBorder="1" applyAlignment="1" applyProtection="1">
      <alignment horizontal="right" vertical="top"/>
      <protection locked="0"/>
    </xf>
    <xf numFmtId="0" fontId="35" fillId="0" borderId="20" xfId="0" applyFont="1" applyBorder="1" applyAlignment="1">
      <alignment horizontal="left" indent="2"/>
    </xf>
    <xf numFmtId="190" fontId="35" fillId="0" borderId="0" xfId="0" applyNumberFormat="1" applyFont="1"/>
    <xf numFmtId="168" fontId="35" fillId="0" borderId="0" xfId="502" applyNumberFormat="1" applyFont="1"/>
    <xf numFmtId="168" fontId="35" fillId="0" borderId="2" xfId="502" applyNumberFormat="1" applyFont="1" applyBorder="1"/>
    <xf numFmtId="190" fontId="35" fillId="0" borderId="0" xfId="503" applyNumberFormat="1" applyFont="1" applyBorder="1"/>
    <xf numFmtId="190" fontId="70" fillId="0" borderId="0" xfId="503" applyNumberFormat="1" applyFont="1" applyBorder="1"/>
    <xf numFmtId="0" fontId="34" fillId="0" borderId="14" xfId="0" applyFont="1" applyBorder="1" applyAlignment="1" applyProtection="1">
      <alignment horizontal="center" vertical="top"/>
      <protection locked="0"/>
    </xf>
    <xf numFmtId="0" fontId="34" fillId="0" borderId="14" xfId="0" applyFont="1" applyBorder="1" applyAlignment="1" applyProtection="1">
      <alignment horizontal="left" vertical="top"/>
      <protection locked="0"/>
    </xf>
    <xf numFmtId="192" fontId="0" fillId="0" borderId="0" xfId="0" applyNumberFormat="1"/>
    <xf numFmtId="0" fontId="35" fillId="0" borderId="0" xfId="0" applyFont="1"/>
    <xf numFmtId="0" fontId="70" fillId="0" borderId="21" xfId="0" applyFont="1" applyBorder="1"/>
    <xf numFmtId="0" fontId="69" fillId="25" borderId="12" xfId="0" applyFont="1" applyFill="1" applyBorder="1" applyAlignment="1" applyProtection="1">
      <alignment horizontal="center" vertical="top"/>
      <protection locked="0"/>
    </xf>
    <xf numFmtId="0" fontId="34" fillId="25" borderId="25" xfId="0" applyFont="1" applyFill="1" applyBorder="1" applyAlignment="1" applyProtection="1">
      <alignment horizontal="center" vertical="top"/>
      <protection locked="0"/>
    </xf>
    <xf numFmtId="0" fontId="69" fillId="25" borderId="12" xfId="0" applyFont="1" applyFill="1" applyBorder="1" applyAlignment="1" applyProtection="1">
      <alignment horizontal="left" vertical="top"/>
      <protection locked="0"/>
    </xf>
    <xf numFmtId="172" fontId="69" fillId="25" borderId="12" xfId="0" applyNumberFormat="1" applyFont="1" applyFill="1" applyBorder="1" applyAlignment="1" applyProtection="1">
      <alignment horizontal="right" vertical="top"/>
      <protection locked="0"/>
    </xf>
    <xf numFmtId="0" fontId="69" fillId="25" borderId="13" xfId="0" applyFont="1" applyFill="1" applyBorder="1" applyAlignment="1" applyProtection="1">
      <alignment vertical="top"/>
      <protection locked="0"/>
    </xf>
    <xf numFmtId="0" fontId="69" fillId="25" borderId="34" xfId="0" applyFont="1" applyFill="1" applyBorder="1" applyAlignment="1" applyProtection="1">
      <alignment vertical="top"/>
      <protection locked="0"/>
    </xf>
    <xf numFmtId="0" fontId="69" fillId="25" borderId="14" xfId="0" applyFont="1" applyFill="1" applyBorder="1" applyAlignment="1" applyProtection="1">
      <alignment horizontal="left" vertical="top"/>
      <protection locked="0"/>
    </xf>
    <xf numFmtId="172" fontId="69" fillId="25" borderId="14" xfId="0" applyNumberFormat="1" applyFont="1" applyFill="1" applyBorder="1" applyAlignment="1" applyProtection="1">
      <alignment horizontal="right" vertical="top"/>
      <protection locked="0"/>
    </xf>
    <xf numFmtId="173" fontId="69" fillId="25" borderId="12" xfId="0" applyNumberFormat="1" applyFont="1" applyFill="1" applyBorder="1" applyAlignment="1" applyProtection="1">
      <alignment horizontal="right" vertical="top"/>
      <protection locked="0"/>
    </xf>
    <xf numFmtId="173" fontId="69" fillId="25" borderId="14" xfId="0" applyNumberFormat="1" applyFont="1" applyFill="1" applyBorder="1" applyAlignment="1" applyProtection="1">
      <alignment horizontal="right" vertical="top"/>
      <protection locked="0"/>
    </xf>
    <xf numFmtId="0" fontId="34" fillId="25" borderId="12" xfId="0" applyFont="1" applyFill="1" applyBorder="1" applyAlignment="1" applyProtection="1">
      <alignment horizontal="left" vertical="top"/>
      <protection locked="0"/>
    </xf>
    <xf numFmtId="173" fontId="34" fillId="25" borderId="48" xfId="0" applyNumberFormat="1" applyFont="1" applyFill="1" applyBorder="1" applyAlignment="1" applyProtection="1">
      <alignment horizontal="right" vertical="top"/>
      <protection locked="0"/>
    </xf>
    <xf numFmtId="0" fontId="0" fillId="25" borderId="49" xfId="0" applyFill="1" applyBorder="1" applyAlignment="1" applyProtection="1">
      <alignment vertical="top"/>
      <protection locked="0"/>
    </xf>
    <xf numFmtId="0" fontId="34" fillId="25" borderId="36" xfId="0" applyFont="1" applyFill="1" applyBorder="1" applyAlignment="1" applyProtection="1">
      <alignment horizontal="left" vertical="top"/>
      <protection locked="0"/>
    </xf>
    <xf numFmtId="173" fontId="34" fillId="25" borderId="50" xfId="0" applyNumberFormat="1" applyFont="1" applyFill="1" applyBorder="1" applyAlignment="1" applyProtection="1">
      <alignment horizontal="right" vertical="top"/>
      <protection locked="0"/>
    </xf>
    <xf numFmtId="165" fontId="0" fillId="0" borderId="35" xfId="0" applyNumberFormat="1" applyBorder="1"/>
    <xf numFmtId="165" fontId="0" fillId="0" borderId="16" xfId="0" applyNumberFormat="1" applyBorder="1"/>
    <xf numFmtId="0" fontId="7" fillId="0" borderId="0" xfId="1" applyFont="1"/>
    <xf numFmtId="0" fontId="7" fillId="0" borderId="0" xfId="1" applyFont="1" applyAlignment="1">
      <alignment horizontal="center"/>
    </xf>
    <xf numFmtId="170" fontId="36" fillId="0" borderId="0" xfId="81" applyNumberFormat="1" applyFont="1"/>
    <xf numFmtId="42" fontId="7" fillId="0" borderId="0" xfId="1" applyNumberFormat="1" applyFont="1"/>
    <xf numFmtId="37" fontId="7" fillId="0" borderId="0" xfId="1" applyNumberFormat="1" applyFont="1"/>
    <xf numFmtId="5" fontId="7" fillId="0" borderId="0" xfId="1" applyNumberFormat="1" applyFont="1"/>
    <xf numFmtId="165" fontId="7" fillId="0" borderId="0" xfId="1" applyNumberFormat="1" applyFont="1"/>
    <xf numFmtId="0" fontId="7" fillId="0" borderId="46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175" fontId="7" fillId="0" borderId="0" xfId="1" applyNumberFormat="1" applyFont="1"/>
    <xf numFmtId="3" fontId="7" fillId="0" borderId="35" xfId="1" applyNumberFormat="1" applyFont="1" applyBorder="1" applyAlignment="1">
      <alignment horizontal="center"/>
    </xf>
    <xf numFmtId="185" fontId="7" fillId="0" borderId="35" xfId="1" applyNumberFormat="1" applyFont="1" applyBorder="1" applyAlignment="1">
      <alignment horizontal="center"/>
    </xf>
    <xf numFmtId="3" fontId="7" fillId="0" borderId="15" xfId="1" applyNumberFormat="1" applyFont="1" applyBorder="1" applyAlignment="1">
      <alignment horizontal="center"/>
    </xf>
    <xf numFmtId="185" fontId="7" fillId="0" borderId="15" xfId="1" applyNumberFormat="1" applyFont="1" applyBorder="1" applyAlignment="1">
      <alignment horizontal="center"/>
    </xf>
    <xf numFmtId="0" fontId="7" fillId="0" borderId="0" xfId="1" quotePrefix="1" applyFont="1" applyAlignment="1">
      <alignment horizontal="center"/>
    </xf>
    <xf numFmtId="37" fontId="7" fillId="0" borderId="2" xfId="1" applyNumberFormat="1" applyFont="1" applyBorder="1"/>
    <xf numFmtId="5" fontId="7" fillId="0" borderId="2" xfId="1" applyNumberFormat="1" applyFont="1" applyBorder="1"/>
    <xf numFmtId="175" fontId="7" fillId="0" borderId="2" xfId="1" applyNumberFormat="1" applyFont="1" applyBorder="1"/>
    <xf numFmtId="165" fontId="7" fillId="0" borderId="2" xfId="1" applyNumberFormat="1" applyFont="1" applyBorder="1"/>
    <xf numFmtId="3" fontId="7" fillId="0" borderId="15" xfId="1" applyNumberFormat="1" applyFont="1" applyBorder="1"/>
    <xf numFmtId="3" fontId="7" fillId="0" borderId="16" xfId="1" applyNumberFormat="1" applyFont="1" applyBorder="1" applyAlignment="1">
      <alignment horizontal="center"/>
    </xf>
    <xf numFmtId="185" fontId="7" fillId="0" borderId="16" xfId="1" applyNumberFormat="1" applyFont="1" applyBorder="1" applyAlignment="1">
      <alignment horizontal="center"/>
    </xf>
    <xf numFmtId="185" fontId="7" fillId="0" borderId="0" xfId="1" applyNumberFormat="1" applyFont="1"/>
    <xf numFmtId="37" fontId="7" fillId="0" borderId="3" xfId="1" applyNumberFormat="1" applyFont="1" applyBorder="1"/>
    <xf numFmtId="5" fontId="7" fillId="0" borderId="3" xfId="1" applyNumberFormat="1" applyFont="1" applyBorder="1"/>
    <xf numFmtId="175" fontId="7" fillId="0" borderId="3" xfId="1" applyNumberFormat="1" applyFont="1" applyBorder="1"/>
    <xf numFmtId="165" fontId="7" fillId="0" borderId="3" xfId="1" applyNumberFormat="1" applyFont="1" applyBorder="1"/>
    <xf numFmtId="187" fontId="72" fillId="0" borderId="0" xfId="1" applyNumberFormat="1" applyFont="1"/>
    <xf numFmtId="42" fontId="7" fillId="0" borderId="2" xfId="1" applyNumberFormat="1" applyFont="1" applyBorder="1" applyAlignment="1">
      <alignment horizontal="center"/>
    </xf>
    <xf numFmtId="42" fontId="71" fillId="0" borderId="0" xfId="1" applyNumberFormat="1" applyFont="1"/>
    <xf numFmtId="0" fontId="71" fillId="0" borderId="0" xfId="1" applyFont="1" applyAlignment="1">
      <alignment horizontal="center"/>
    </xf>
    <xf numFmtId="0" fontId="71" fillId="0" borderId="0" xfId="1" applyFont="1" applyAlignment="1">
      <alignment horizontal="centerContinuous"/>
    </xf>
    <xf numFmtId="0" fontId="71" fillId="0" borderId="0" xfId="1" applyFont="1"/>
    <xf numFmtId="37" fontId="7" fillId="0" borderId="0" xfId="1" applyNumberFormat="1" applyFont="1" applyAlignment="1">
      <alignment horizontal="right"/>
    </xf>
    <xf numFmtId="5" fontId="72" fillId="0" borderId="0" xfId="9" applyNumberFormat="1" applyFont="1" applyFill="1" applyBorder="1"/>
    <xf numFmtId="174" fontId="73" fillId="0" borderId="0" xfId="81" applyNumberFormat="1" applyFont="1" applyAlignment="1">
      <alignment horizontal="center"/>
    </xf>
    <xf numFmtId="170" fontId="36" fillId="0" borderId="0" xfId="81" applyNumberFormat="1" applyFont="1" applyAlignment="1">
      <alignment horizontal="left" indent="1"/>
    </xf>
    <xf numFmtId="170" fontId="36" fillId="0" borderId="0" xfId="81" applyNumberFormat="1" applyFont="1" applyAlignment="1">
      <alignment horizontal="right"/>
    </xf>
    <xf numFmtId="174" fontId="73" fillId="0" borderId="7" xfId="81" applyNumberFormat="1" applyFont="1" applyBorder="1" applyAlignment="1">
      <alignment horizontal="center"/>
    </xf>
    <xf numFmtId="174" fontId="73" fillId="0" borderId="17" xfId="81" applyNumberFormat="1" applyFont="1" applyBorder="1" applyAlignment="1">
      <alignment horizontal="center"/>
    </xf>
    <xf numFmtId="174" fontId="73" fillId="0" borderId="19" xfId="81" applyNumberFormat="1" applyFont="1" applyBorder="1" applyAlignment="1">
      <alignment horizontal="center"/>
    </xf>
    <xf numFmtId="174" fontId="73" fillId="0" borderId="22" xfId="81" applyNumberFormat="1" applyFont="1" applyBorder="1" applyAlignment="1">
      <alignment horizontal="center"/>
    </xf>
    <xf numFmtId="174" fontId="73" fillId="0" borderId="2" xfId="81" applyNumberFormat="1" applyFont="1" applyBorder="1" applyAlignment="1">
      <alignment horizontal="center"/>
    </xf>
    <xf numFmtId="174" fontId="73" fillId="0" borderId="23" xfId="81" applyNumberFormat="1" applyFont="1" applyBorder="1" applyAlignment="1">
      <alignment horizontal="center"/>
    </xf>
    <xf numFmtId="0" fontId="7" fillId="0" borderId="22" xfId="1" applyFont="1" applyBorder="1"/>
    <xf numFmtId="0" fontId="7" fillId="0" borderId="2" xfId="1" applyFont="1" applyBorder="1"/>
    <xf numFmtId="187" fontId="7" fillId="0" borderId="2" xfId="1" applyNumberFormat="1" applyFont="1" applyBorder="1"/>
    <xf numFmtId="175" fontId="7" fillId="0" borderId="23" xfId="1" applyNumberFormat="1" applyFont="1" applyBorder="1"/>
    <xf numFmtId="0" fontId="74" fillId="0" borderId="0" xfId="1" applyFont="1" applyAlignment="1">
      <alignment horizontal="centerContinuous"/>
    </xf>
    <xf numFmtId="0" fontId="74" fillId="0" borderId="0" xfId="1" applyFont="1"/>
    <xf numFmtId="0" fontId="75" fillId="0" borderId="0" xfId="2" applyFont="1"/>
    <xf numFmtId="0" fontId="74" fillId="0" borderId="0" xfId="1" applyFont="1" applyAlignment="1">
      <alignment horizontal="left"/>
    </xf>
    <xf numFmtId="0" fontId="75" fillId="0" borderId="0" xfId="2" applyFont="1" applyAlignment="1">
      <alignment horizontal="left"/>
    </xf>
    <xf numFmtId="37" fontId="74" fillId="0" borderId="0" xfId="1" applyNumberFormat="1" applyFont="1" applyAlignment="1">
      <alignment horizontal="left"/>
    </xf>
    <xf numFmtId="37" fontId="74" fillId="0" borderId="2" xfId="1" applyNumberFormat="1" applyFont="1" applyBorder="1" applyAlignment="1">
      <alignment horizontal="center"/>
    </xf>
    <xf numFmtId="170" fontId="75" fillId="0" borderId="0" xfId="81" applyNumberFormat="1" applyFont="1" applyAlignment="1">
      <alignment horizontal="center"/>
    </xf>
    <xf numFmtId="170" fontId="75" fillId="0" borderId="2" xfId="81" applyNumberFormat="1" applyFont="1" applyBorder="1" applyAlignment="1">
      <alignment horizontal="centerContinuous"/>
    </xf>
    <xf numFmtId="170" fontId="75" fillId="0" borderId="0" xfId="81" applyNumberFormat="1" applyFont="1" applyAlignment="1">
      <alignment horizontal="centerContinuous"/>
    </xf>
    <xf numFmtId="170" fontId="75" fillId="0" borderId="0" xfId="81" applyNumberFormat="1" applyFont="1" applyAlignment="1">
      <alignment horizontal="left"/>
    </xf>
    <xf numFmtId="0" fontId="74" fillId="0" borderId="0" xfId="1" applyFont="1" applyAlignment="1">
      <alignment horizontal="center"/>
    </xf>
    <xf numFmtId="42" fontId="74" fillId="0" borderId="0" xfId="1" applyNumberFormat="1" applyFont="1" applyAlignment="1">
      <alignment horizontal="center"/>
    </xf>
    <xf numFmtId="37" fontId="74" fillId="0" borderId="0" xfId="1" applyNumberFormat="1" applyFont="1" applyAlignment="1">
      <alignment horizontal="center"/>
    </xf>
    <xf numFmtId="170" fontId="75" fillId="0" borderId="0" xfId="81" applyNumberFormat="1" applyFont="1"/>
    <xf numFmtId="170" fontId="75" fillId="0" borderId="11" xfId="81" applyNumberFormat="1" applyFont="1" applyBorder="1" applyAlignment="1">
      <alignment horizontal="centerContinuous"/>
    </xf>
    <xf numFmtId="0" fontId="74" fillId="0" borderId="2" xfId="1" applyFont="1" applyBorder="1" applyAlignment="1">
      <alignment horizontal="center"/>
    </xf>
    <xf numFmtId="170" fontId="75" fillId="0" borderId="2" xfId="81" applyNumberFormat="1" applyFont="1" applyBorder="1" applyAlignment="1">
      <alignment horizontal="center"/>
    </xf>
    <xf numFmtId="170" fontId="75" fillId="0" borderId="2" xfId="81" quotePrefix="1" applyNumberFormat="1" applyFont="1" applyBorder="1" applyAlignment="1">
      <alignment horizontal="center"/>
    </xf>
    <xf numFmtId="2" fontId="75" fillId="0" borderId="2" xfId="81" applyNumberFormat="1" applyFont="1" applyBorder="1" applyAlignment="1">
      <alignment horizontal="center"/>
    </xf>
    <xf numFmtId="170" fontId="75" fillId="0" borderId="0" xfId="81" quotePrefix="1" applyNumberFormat="1" applyFont="1" applyAlignment="1">
      <alignment horizontal="center"/>
    </xf>
    <xf numFmtId="0" fontId="76" fillId="0" borderId="0" xfId="1" applyFont="1"/>
    <xf numFmtId="0" fontId="7" fillId="0" borderId="0" xfId="1" applyFont="1" applyAlignment="1">
      <alignment horizontal="right"/>
    </xf>
    <xf numFmtId="193" fontId="7" fillId="0" borderId="0" xfId="1" applyNumberFormat="1" applyFont="1"/>
    <xf numFmtId="0" fontId="74" fillId="0" borderId="35" xfId="1" quotePrefix="1" applyFont="1" applyBorder="1" applyAlignment="1">
      <alignment horizontal="center"/>
    </xf>
    <xf numFmtId="0" fontId="74" fillId="0" borderId="15" xfId="1" quotePrefix="1" applyFont="1" applyBorder="1" applyAlignment="1">
      <alignment horizontal="center"/>
    </xf>
    <xf numFmtId="0" fontId="74" fillId="0" borderId="16" xfId="1" applyFont="1" applyBorder="1" applyAlignment="1">
      <alignment horizontal="center"/>
    </xf>
    <xf numFmtId="0" fontId="75" fillId="0" borderId="2" xfId="2" applyFont="1" applyBorder="1" applyAlignment="1">
      <alignment horizontal="centerContinuous"/>
    </xf>
    <xf numFmtId="0" fontId="74" fillId="0" borderId="2" xfId="1" applyFont="1" applyBorder="1" applyAlignment="1">
      <alignment horizontal="centerContinuous"/>
    </xf>
    <xf numFmtId="42" fontId="74" fillId="0" borderId="11" xfId="1" applyNumberFormat="1" applyFont="1" applyBorder="1" applyAlignment="1">
      <alignment horizontal="centerContinuous"/>
    </xf>
    <xf numFmtId="0" fontId="74" fillId="0" borderId="11" xfId="1" applyFont="1" applyBorder="1" applyAlignment="1">
      <alignment horizontal="center"/>
    </xf>
    <xf numFmtId="194" fontId="7" fillId="0" borderId="0" xfId="1" applyNumberFormat="1" applyFont="1"/>
    <xf numFmtId="0" fontId="65" fillId="25" borderId="14" xfId="0" applyFont="1" applyFill="1" applyBorder="1" applyAlignment="1" applyProtection="1">
      <alignment horizontal="center" vertical="top"/>
      <protection locked="0"/>
    </xf>
    <xf numFmtId="0" fontId="65" fillId="25" borderId="12" xfId="0" applyFont="1" applyFill="1" applyBorder="1" applyAlignment="1" applyProtection="1">
      <alignment horizontal="left" vertical="top"/>
      <protection locked="0"/>
    </xf>
    <xf numFmtId="0" fontId="65" fillId="25" borderId="14" xfId="0" applyFont="1" applyFill="1" applyBorder="1" applyAlignment="1" applyProtection="1">
      <alignment horizontal="left" vertical="top"/>
      <protection locked="0"/>
    </xf>
    <xf numFmtId="0" fontId="65" fillId="25" borderId="13" xfId="0" applyFont="1" applyFill="1" applyBorder="1" applyAlignment="1" applyProtection="1">
      <alignment vertical="top"/>
      <protection locked="0"/>
    </xf>
    <xf numFmtId="0" fontId="65" fillId="25" borderId="34" xfId="0" applyFont="1" applyFill="1" applyBorder="1" applyAlignment="1" applyProtection="1">
      <alignment vertical="top"/>
      <protection locked="0"/>
    </xf>
    <xf numFmtId="0" fontId="35" fillId="0" borderId="20" xfId="0" applyFont="1" applyBorder="1" applyAlignment="1">
      <alignment horizontal="left" wrapText="1" indent="2"/>
    </xf>
    <xf numFmtId="0" fontId="70" fillId="0" borderId="20" xfId="0" applyFont="1" applyBorder="1" applyAlignment="1">
      <alignment horizontal="left" wrapText="1" indent="1"/>
    </xf>
    <xf numFmtId="0" fontId="31" fillId="0" borderId="0" xfId="0" applyFont="1" applyAlignment="1">
      <alignment horizontal="centerContinuous"/>
    </xf>
    <xf numFmtId="0" fontId="31" fillId="52" borderId="51" xfId="0" applyFont="1" applyFill="1" applyBorder="1" applyAlignment="1">
      <alignment horizontal="center"/>
    </xf>
    <xf numFmtId="0" fontId="31" fillId="52" borderId="52" xfId="0" applyFont="1" applyFill="1" applyBorder="1" applyAlignment="1">
      <alignment horizontal="centerContinuous"/>
    </xf>
    <xf numFmtId="0" fontId="0" fillId="52" borderId="53" xfId="0" applyFill="1" applyBorder="1"/>
    <xf numFmtId="42" fontId="0" fillId="52" borderId="54" xfId="0" applyNumberFormat="1" applyFill="1" applyBorder="1"/>
    <xf numFmtId="41" fontId="0" fillId="52" borderId="54" xfId="0" applyNumberFormat="1" applyFill="1" applyBorder="1"/>
    <xf numFmtId="0" fontId="0" fillId="52" borderId="53" xfId="0" applyFill="1" applyBorder="1" applyAlignment="1">
      <alignment horizontal="left" indent="1"/>
    </xf>
    <xf numFmtId="41" fontId="0" fillId="52" borderId="55" xfId="0" applyNumberFormat="1" applyFill="1" applyBorder="1"/>
    <xf numFmtId="0" fontId="0" fillId="52" borderId="53" xfId="0" applyFill="1" applyBorder="1" applyAlignment="1">
      <alignment horizontal="center"/>
    </xf>
    <xf numFmtId="9" fontId="0" fillId="52" borderId="56" xfId="0" applyNumberFormat="1" applyFill="1" applyBorder="1"/>
    <xf numFmtId="0" fontId="11" fillId="52" borderId="53" xfId="0" applyFont="1" applyFill="1" applyBorder="1"/>
    <xf numFmtId="0" fontId="0" fillId="0" borderId="54" xfId="0" applyBorder="1"/>
    <xf numFmtId="41" fontId="0" fillId="52" borderId="54" xfId="4" applyNumberFormat="1" applyFont="1" applyFill="1" applyBorder="1"/>
    <xf numFmtId="41" fontId="0" fillId="0" borderId="0" xfId="0" applyNumberFormat="1"/>
    <xf numFmtId="0" fontId="11" fillId="52" borderId="53" xfId="0" applyFont="1" applyFill="1" applyBorder="1" applyAlignment="1">
      <alignment horizontal="left" indent="1"/>
    </xf>
    <xf numFmtId="41" fontId="0" fillId="52" borderId="57" xfId="9" applyNumberFormat="1" applyFont="1" applyFill="1" applyBorder="1"/>
    <xf numFmtId="190" fontId="0" fillId="52" borderId="54" xfId="9" applyNumberFormat="1" applyFont="1" applyFill="1" applyBorder="1"/>
    <xf numFmtId="41" fontId="0" fillId="52" borderId="54" xfId="9" applyNumberFormat="1" applyFont="1" applyFill="1" applyBorder="1"/>
    <xf numFmtId="42" fontId="0" fillId="52" borderId="58" xfId="0" applyNumberFormat="1" applyFill="1" applyBorder="1"/>
    <xf numFmtId="0" fontId="0" fillId="52" borderId="59" xfId="0" applyFill="1" applyBorder="1" applyAlignment="1">
      <alignment horizontal="center"/>
    </xf>
    <xf numFmtId="168" fontId="0" fillId="52" borderId="60" xfId="4" applyNumberFormat="1" applyFont="1" applyFill="1" applyBorder="1"/>
    <xf numFmtId="37" fontId="0" fillId="0" borderId="0" xfId="0" applyNumberFormat="1"/>
    <xf numFmtId="187" fontId="7" fillId="0" borderId="0" xfId="1" applyNumberFormat="1" applyFont="1"/>
    <xf numFmtId="40" fontId="4" fillId="52" borderId="0" xfId="86" applyNumberFormat="1" applyFill="1" applyAlignment="1">
      <alignment horizontal="left"/>
    </xf>
    <xf numFmtId="0" fontId="77" fillId="0" borderId="0" xfId="1" applyFont="1" applyAlignment="1">
      <alignment horizontal="center"/>
    </xf>
    <xf numFmtId="0" fontId="77" fillId="0" borderId="0" xfId="1" applyFont="1"/>
    <xf numFmtId="5" fontId="77" fillId="0" borderId="0" xfId="1" applyNumberFormat="1" applyFont="1"/>
    <xf numFmtId="0" fontId="77" fillId="0" borderId="0" xfId="1" quotePrefix="1" applyFont="1" applyAlignment="1">
      <alignment horizontal="center"/>
    </xf>
    <xf numFmtId="37" fontId="77" fillId="0" borderId="0" xfId="1" applyNumberFormat="1" applyFont="1"/>
    <xf numFmtId="175" fontId="77" fillId="0" borderId="0" xfId="1" applyNumberFormat="1" applyFont="1"/>
    <xf numFmtId="165" fontId="77" fillId="0" borderId="0" xfId="1" applyNumberFormat="1" applyFont="1"/>
    <xf numFmtId="185" fontId="77" fillId="0" borderId="0" xfId="1" applyNumberFormat="1" applyFont="1"/>
    <xf numFmtId="193" fontId="77" fillId="0" borderId="0" xfId="1" applyNumberFormat="1" applyFont="1"/>
    <xf numFmtId="5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0" fillId="0" borderId="2" xfId="0" applyFont="1" applyBorder="1" applyAlignment="1">
      <alignment horizontal="center"/>
    </xf>
  </cellXfs>
  <cellStyles count="508">
    <cellStyle name="20% - Accent1 2" xfId="88" xr:uid="{00000000-0005-0000-0000-000000000000}"/>
    <cellStyle name="20% - Accent1 3" xfId="89" xr:uid="{00000000-0005-0000-0000-000001000000}"/>
    <cellStyle name="20% - Accent1 4" xfId="90" xr:uid="{00000000-0005-0000-0000-000002000000}"/>
    <cellStyle name="20% - Accent1 5" xfId="91" xr:uid="{00000000-0005-0000-0000-000003000000}"/>
    <cellStyle name="20% - Accent1 6" xfId="92" xr:uid="{00000000-0005-0000-0000-000004000000}"/>
    <cellStyle name="20% - Accent2 2" xfId="93" xr:uid="{00000000-0005-0000-0000-000005000000}"/>
    <cellStyle name="20% - Accent2 3" xfId="94" xr:uid="{00000000-0005-0000-0000-000006000000}"/>
    <cellStyle name="20% - Accent2 4" xfId="95" xr:uid="{00000000-0005-0000-0000-000007000000}"/>
    <cellStyle name="20% - Accent2 5" xfId="96" xr:uid="{00000000-0005-0000-0000-000008000000}"/>
    <cellStyle name="20% - Accent2 6" xfId="97" xr:uid="{00000000-0005-0000-0000-000009000000}"/>
    <cellStyle name="20% - Accent3 2" xfId="98" xr:uid="{00000000-0005-0000-0000-00000A000000}"/>
    <cellStyle name="20% - Accent3 3" xfId="99" xr:uid="{00000000-0005-0000-0000-00000B000000}"/>
    <cellStyle name="20% - Accent3 4" xfId="100" xr:uid="{00000000-0005-0000-0000-00000C000000}"/>
    <cellStyle name="20% - Accent3 5" xfId="101" xr:uid="{00000000-0005-0000-0000-00000D000000}"/>
    <cellStyle name="20% - Accent3 6" xfId="102" xr:uid="{00000000-0005-0000-0000-00000E000000}"/>
    <cellStyle name="20% - Accent4 2" xfId="103" xr:uid="{00000000-0005-0000-0000-00000F000000}"/>
    <cellStyle name="20% - Accent4 3" xfId="104" xr:uid="{00000000-0005-0000-0000-000010000000}"/>
    <cellStyle name="20% - Accent4 4" xfId="105" xr:uid="{00000000-0005-0000-0000-000011000000}"/>
    <cellStyle name="20% - Accent4 5" xfId="106" xr:uid="{00000000-0005-0000-0000-000012000000}"/>
    <cellStyle name="20% - Accent4 6" xfId="107" xr:uid="{00000000-0005-0000-0000-000013000000}"/>
    <cellStyle name="20% - Accent5 2" xfId="108" xr:uid="{00000000-0005-0000-0000-000014000000}"/>
    <cellStyle name="20% - Accent5 3" xfId="109" xr:uid="{00000000-0005-0000-0000-000015000000}"/>
    <cellStyle name="20% - Accent5 4" xfId="110" xr:uid="{00000000-0005-0000-0000-000016000000}"/>
    <cellStyle name="20% - Accent5 5" xfId="111" xr:uid="{00000000-0005-0000-0000-000017000000}"/>
    <cellStyle name="20% - Accent5 6" xfId="112" xr:uid="{00000000-0005-0000-0000-000018000000}"/>
    <cellStyle name="20% - Accent6 2" xfId="113" xr:uid="{00000000-0005-0000-0000-000019000000}"/>
    <cellStyle name="20% - Accent6 3" xfId="114" xr:uid="{00000000-0005-0000-0000-00001A000000}"/>
    <cellStyle name="20% - Accent6 4" xfId="115" xr:uid="{00000000-0005-0000-0000-00001B000000}"/>
    <cellStyle name="20% - Accent6 5" xfId="116" xr:uid="{00000000-0005-0000-0000-00001C000000}"/>
    <cellStyle name="20% - Accent6 6" xfId="117" xr:uid="{00000000-0005-0000-0000-00001D000000}"/>
    <cellStyle name="40% - Accent1 2" xfId="118" xr:uid="{00000000-0005-0000-0000-00001E000000}"/>
    <cellStyle name="40% - Accent1 3" xfId="119" xr:uid="{00000000-0005-0000-0000-00001F000000}"/>
    <cellStyle name="40% - Accent1 4" xfId="120" xr:uid="{00000000-0005-0000-0000-000020000000}"/>
    <cellStyle name="40% - Accent1 5" xfId="121" xr:uid="{00000000-0005-0000-0000-000021000000}"/>
    <cellStyle name="40% - Accent1 6" xfId="122" xr:uid="{00000000-0005-0000-0000-000022000000}"/>
    <cellStyle name="40% - Accent2 2" xfId="123" xr:uid="{00000000-0005-0000-0000-000023000000}"/>
    <cellStyle name="40% - Accent2 3" xfId="124" xr:uid="{00000000-0005-0000-0000-000024000000}"/>
    <cellStyle name="40% - Accent2 4" xfId="125" xr:uid="{00000000-0005-0000-0000-000025000000}"/>
    <cellStyle name="40% - Accent2 5" xfId="126" xr:uid="{00000000-0005-0000-0000-000026000000}"/>
    <cellStyle name="40% - Accent2 6" xfId="127" xr:uid="{00000000-0005-0000-0000-000027000000}"/>
    <cellStyle name="40% - Accent3 2" xfId="128" xr:uid="{00000000-0005-0000-0000-000028000000}"/>
    <cellStyle name="40% - Accent3 3" xfId="129" xr:uid="{00000000-0005-0000-0000-000029000000}"/>
    <cellStyle name="40% - Accent3 4" xfId="130" xr:uid="{00000000-0005-0000-0000-00002A000000}"/>
    <cellStyle name="40% - Accent3 5" xfId="131" xr:uid="{00000000-0005-0000-0000-00002B000000}"/>
    <cellStyle name="40% - Accent3 6" xfId="132" xr:uid="{00000000-0005-0000-0000-00002C000000}"/>
    <cellStyle name="40% - Accent4 2" xfId="133" xr:uid="{00000000-0005-0000-0000-00002D000000}"/>
    <cellStyle name="40% - Accent4 3" xfId="134" xr:uid="{00000000-0005-0000-0000-00002E000000}"/>
    <cellStyle name="40% - Accent4 4" xfId="135" xr:uid="{00000000-0005-0000-0000-00002F000000}"/>
    <cellStyle name="40% - Accent4 5" xfId="136" xr:uid="{00000000-0005-0000-0000-000030000000}"/>
    <cellStyle name="40% - Accent4 6" xfId="137" xr:uid="{00000000-0005-0000-0000-000031000000}"/>
    <cellStyle name="40% - Accent5 2" xfId="138" xr:uid="{00000000-0005-0000-0000-000032000000}"/>
    <cellStyle name="40% - Accent5 3" xfId="139" xr:uid="{00000000-0005-0000-0000-000033000000}"/>
    <cellStyle name="40% - Accent5 4" xfId="140" xr:uid="{00000000-0005-0000-0000-000034000000}"/>
    <cellStyle name="40% - Accent5 5" xfId="141" xr:uid="{00000000-0005-0000-0000-000035000000}"/>
    <cellStyle name="40% - Accent5 6" xfId="142" xr:uid="{00000000-0005-0000-0000-000036000000}"/>
    <cellStyle name="40% - Accent6 2" xfId="143" xr:uid="{00000000-0005-0000-0000-000037000000}"/>
    <cellStyle name="40% - Accent6 3" xfId="144" xr:uid="{00000000-0005-0000-0000-000038000000}"/>
    <cellStyle name="40% - Accent6 4" xfId="145" xr:uid="{00000000-0005-0000-0000-000039000000}"/>
    <cellStyle name="40% - Accent6 5" xfId="146" xr:uid="{00000000-0005-0000-0000-00003A000000}"/>
    <cellStyle name="40% - Accent6 6" xfId="147" xr:uid="{00000000-0005-0000-0000-00003B000000}"/>
    <cellStyle name="60% - Accent1 2" xfId="148" xr:uid="{00000000-0005-0000-0000-00003C000000}"/>
    <cellStyle name="60% - Accent1 3" xfId="149" xr:uid="{00000000-0005-0000-0000-00003D000000}"/>
    <cellStyle name="60% - Accent1 4" xfId="150" xr:uid="{00000000-0005-0000-0000-00003E000000}"/>
    <cellStyle name="60% - Accent1 5" xfId="151" xr:uid="{00000000-0005-0000-0000-00003F000000}"/>
    <cellStyle name="60% - Accent1 6" xfId="152" xr:uid="{00000000-0005-0000-0000-000040000000}"/>
    <cellStyle name="60% - Accent2 2" xfId="153" xr:uid="{00000000-0005-0000-0000-000041000000}"/>
    <cellStyle name="60% - Accent2 3" xfId="154" xr:uid="{00000000-0005-0000-0000-000042000000}"/>
    <cellStyle name="60% - Accent2 4" xfId="155" xr:uid="{00000000-0005-0000-0000-000043000000}"/>
    <cellStyle name="60% - Accent2 5" xfId="156" xr:uid="{00000000-0005-0000-0000-000044000000}"/>
    <cellStyle name="60% - Accent2 6" xfId="157" xr:uid="{00000000-0005-0000-0000-000045000000}"/>
    <cellStyle name="60% - Accent3 2" xfId="158" xr:uid="{00000000-0005-0000-0000-000046000000}"/>
    <cellStyle name="60% - Accent3 3" xfId="159" xr:uid="{00000000-0005-0000-0000-000047000000}"/>
    <cellStyle name="60% - Accent3 4" xfId="160" xr:uid="{00000000-0005-0000-0000-000048000000}"/>
    <cellStyle name="60% - Accent3 5" xfId="161" xr:uid="{00000000-0005-0000-0000-000049000000}"/>
    <cellStyle name="60% - Accent3 6" xfId="162" xr:uid="{00000000-0005-0000-0000-00004A000000}"/>
    <cellStyle name="60% - Accent4 2" xfId="163" xr:uid="{00000000-0005-0000-0000-00004B000000}"/>
    <cellStyle name="60% - Accent4 3" xfId="164" xr:uid="{00000000-0005-0000-0000-00004C000000}"/>
    <cellStyle name="60% - Accent4 4" xfId="165" xr:uid="{00000000-0005-0000-0000-00004D000000}"/>
    <cellStyle name="60% - Accent4 5" xfId="166" xr:uid="{00000000-0005-0000-0000-00004E000000}"/>
    <cellStyle name="60% - Accent4 6" xfId="167" xr:uid="{00000000-0005-0000-0000-00004F000000}"/>
    <cellStyle name="60% - Accent5 2" xfId="168" xr:uid="{00000000-0005-0000-0000-000050000000}"/>
    <cellStyle name="60% - Accent5 3" xfId="169" xr:uid="{00000000-0005-0000-0000-000051000000}"/>
    <cellStyle name="60% - Accent5 4" xfId="170" xr:uid="{00000000-0005-0000-0000-000052000000}"/>
    <cellStyle name="60% - Accent5 5" xfId="171" xr:uid="{00000000-0005-0000-0000-000053000000}"/>
    <cellStyle name="60% - Accent5 6" xfId="172" xr:uid="{00000000-0005-0000-0000-000054000000}"/>
    <cellStyle name="60% - Accent6 2" xfId="173" xr:uid="{00000000-0005-0000-0000-000055000000}"/>
    <cellStyle name="60% - Accent6 3" xfId="174" xr:uid="{00000000-0005-0000-0000-000056000000}"/>
    <cellStyle name="60% - Accent6 4" xfId="175" xr:uid="{00000000-0005-0000-0000-000057000000}"/>
    <cellStyle name="60% - Accent6 5" xfId="176" xr:uid="{00000000-0005-0000-0000-000058000000}"/>
    <cellStyle name="60% - Accent6 6" xfId="177" xr:uid="{00000000-0005-0000-0000-000059000000}"/>
    <cellStyle name="Accent1 2" xfId="178" xr:uid="{00000000-0005-0000-0000-00005A000000}"/>
    <cellStyle name="Accent1 3" xfId="179" xr:uid="{00000000-0005-0000-0000-00005B000000}"/>
    <cellStyle name="Accent1 4" xfId="180" xr:uid="{00000000-0005-0000-0000-00005C000000}"/>
    <cellStyle name="Accent1 5" xfId="181" xr:uid="{00000000-0005-0000-0000-00005D000000}"/>
    <cellStyle name="Accent1 6" xfId="182" xr:uid="{00000000-0005-0000-0000-00005E000000}"/>
    <cellStyle name="Accent2 2" xfId="183" xr:uid="{00000000-0005-0000-0000-00005F000000}"/>
    <cellStyle name="Accent2 3" xfId="184" xr:uid="{00000000-0005-0000-0000-000060000000}"/>
    <cellStyle name="Accent2 4" xfId="185" xr:uid="{00000000-0005-0000-0000-000061000000}"/>
    <cellStyle name="Accent2 5" xfId="186" xr:uid="{00000000-0005-0000-0000-000062000000}"/>
    <cellStyle name="Accent2 6" xfId="187" xr:uid="{00000000-0005-0000-0000-000063000000}"/>
    <cellStyle name="Accent3 2" xfId="188" xr:uid="{00000000-0005-0000-0000-000064000000}"/>
    <cellStyle name="Accent3 3" xfId="189" xr:uid="{00000000-0005-0000-0000-000065000000}"/>
    <cellStyle name="Accent3 4" xfId="190" xr:uid="{00000000-0005-0000-0000-000066000000}"/>
    <cellStyle name="Accent3 5" xfId="191" xr:uid="{00000000-0005-0000-0000-000067000000}"/>
    <cellStyle name="Accent3 6" xfId="192" xr:uid="{00000000-0005-0000-0000-000068000000}"/>
    <cellStyle name="Accent4 2" xfId="193" xr:uid="{00000000-0005-0000-0000-000069000000}"/>
    <cellStyle name="Accent4 3" xfId="194" xr:uid="{00000000-0005-0000-0000-00006A000000}"/>
    <cellStyle name="Accent4 4" xfId="195" xr:uid="{00000000-0005-0000-0000-00006B000000}"/>
    <cellStyle name="Accent4 5" xfId="196" xr:uid="{00000000-0005-0000-0000-00006C000000}"/>
    <cellStyle name="Accent4 6" xfId="197" xr:uid="{00000000-0005-0000-0000-00006D000000}"/>
    <cellStyle name="Accent5 2" xfId="198" xr:uid="{00000000-0005-0000-0000-00006E000000}"/>
    <cellStyle name="Accent5 3" xfId="199" xr:uid="{00000000-0005-0000-0000-00006F000000}"/>
    <cellStyle name="Accent5 4" xfId="200" xr:uid="{00000000-0005-0000-0000-000070000000}"/>
    <cellStyle name="Accent5 5" xfId="201" xr:uid="{00000000-0005-0000-0000-000071000000}"/>
    <cellStyle name="Accent5 6" xfId="202" xr:uid="{00000000-0005-0000-0000-000072000000}"/>
    <cellStyle name="Accent6 2" xfId="203" xr:uid="{00000000-0005-0000-0000-000073000000}"/>
    <cellStyle name="Accent6 3" xfId="204" xr:uid="{00000000-0005-0000-0000-000074000000}"/>
    <cellStyle name="Accent6 4" xfId="205" xr:uid="{00000000-0005-0000-0000-000075000000}"/>
    <cellStyle name="Accent6 5" xfId="206" xr:uid="{00000000-0005-0000-0000-000076000000}"/>
    <cellStyle name="Accent6 6" xfId="207" xr:uid="{00000000-0005-0000-0000-000077000000}"/>
    <cellStyle name="ArrayHeading" xfId="208" xr:uid="{00000000-0005-0000-0000-000078000000}"/>
    <cellStyle name="Bad 2" xfId="209" xr:uid="{00000000-0005-0000-0000-000079000000}"/>
    <cellStyle name="Bad 3" xfId="210" xr:uid="{00000000-0005-0000-0000-00007A000000}"/>
    <cellStyle name="Bad 4" xfId="211" xr:uid="{00000000-0005-0000-0000-00007B000000}"/>
    <cellStyle name="Bad 5" xfId="212" xr:uid="{00000000-0005-0000-0000-00007C000000}"/>
    <cellStyle name="Bad 6" xfId="213" xr:uid="{00000000-0005-0000-0000-00007D000000}"/>
    <cellStyle name="BetweenMacros" xfId="214" xr:uid="{00000000-0005-0000-0000-00007E000000}"/>
    <cellStyle name="Calculation 2" xfId="215" xr:uid="{00000000-0005-0000-0000-00007F000000}"/>
    <cellStyle name="Calculation 3" xfId="216" xr:uid="{00000000-0005-0000-0000-000080000000}"/>
    <cellStyle name="Calculation 4" xfId="217" xr:uid="{00000000-0005-0000-0000-000081000000}"/>
    <cellStyle name="Calculation 5" xfId="218" xr:uid="{00000000-0005-0000-0000-000082000000}"/>
    <cellStyle name="Calculation 6" xfId="219" xr:uid="{00000000-0005-0000-0000-000083000000}"/>
    <cellStyle name="Check Cell 2" xfId="220" xr:uid="{00000000-0005-0000-0000-000084000000}"/>
    <cellStyle name="Check Cell 3" xfId="221" xr:uid="{00000000-0005-0000-0000-000085000000}"/>
    <cellStyle name="Check Cell 4" xfId="222" xr:uid="{00000000-0005-0000-0000-000086000000}"/>
    <cellStyle name="Check Cell 5" xfId="223" xr:uid="{00000000-0005-0000-0000-000087000000}"/>
    <cellStyle name="Check Cell 6" xfId="224" xr:uid="{00000000-0005-0000-0000-000088000000}"/>
    <cellStyle name="Column total in dollars" xfId="225" xr:uid="{00000000-0005-0000-0000-000089000000}"/>
    <cellStyle name="Comma" xfId="502" builtinId="3"/>
    <cellStyle name="Comma  - Style1" xfId="226" xr:uid="{00000000-0005-0000-0000-00008B000000}"/>
    <cellStyle name="Comma  - Style1 2" xfId="227" xr:uid="{00000000-0005-0000-0000-00008C000000}"/>
    <cellStyle name="Comma  - Style1 3" xfId="228" xr:uid="{00000000-0005-0000-0000-00008D000000}"/>
    <cellStyle name="Comma  - Style2" xfId="229" xr:uid="{00000000-0005-0000-0000-00008E000000}"/>
    <cellStyle name="Comma  - Style2 2" xfId="230" xr:uid="{00000000-0005-0000-0000-00008F000000}"/>
    <cellStyle name="Comma  - Style2 3" xfId="231" xr:uid="{00000000-0005-0000-0000-000090000000}"/>
    <cellStyle name="Comma  - Style3" xfId="232" xr:uid="{00000000-0005-0000-0000-000091000000}"/>
    <cellStyle name="Comma  - Style3 2" xfId="233" xr:uid="{00000000-0005-0000-0000-000092000000}"/>
    <cellStyle name="Comma  - Style3 3" xfId="234" xr:uid="{00000000-0005-0000-0000-000093000000}"/>
    <cellStyle name="Comma  - Style4" xfId="235" xr:uid="{00000000-0005-0000-0000-000094000000}"/>
    <cellStyle name="Comma  - Style4 2" xfId="236" xr:uid="{00000000-0005-0000-0000-000095000000}"/>
    <cellStyle name="Comma  - Style4 3" xfId="237" xr:uid="{00000000-0005-0000-0000-000096000000}"/>
    <cellStyle name="Comma  - Style5" xfId="238" xr:uid="{00000000-0005-0000-0000-000097000000}"/>
    <cellStyle name="Comma  - Style5 2" xfId="239" xr:uid="{00000000-0005-0000-0000-000098000000}"/>
    <cellStyle name="Comma  - Style5 3" xfId="240" xr:uid="{00000000-0005-0000-0000-000099000000}"/>
    <cellStyle name="Comma  - Style6" xfId="241" xr:uid="{00000000-0005-0000-0000-00009A000000}"/>
    <cellStyle name="Comma  - Style6 2" xfId="242" xr:uid="{00000000-0005-0000-0000-00009B000000}"/>
    <cellStyle name="Comma  - Style6 3" xfId="243" xr:uid="{00000000-0005-0000-0000-00009C000000}"/>
    <cellStyle name="Comma  - Style7" xfId="244" xr:uid="{00000000-0005-0000-0000-00009D000000}"/>
    <cellStyle name="Comma  - Style7 2" xfId="245" xr:uid="{00000000-0005-0000-0000-00009E000000}"/>
    <cellStyle name="Comma  - Style7 3" xfId="246" xr:uid="{00000000-0005-0000-0000-00009F000000}"/>
    <cellStyle name="Comma  - Style8" xfId="247" xr:uid="{00000000-0005-0000-0000-0000A0000000}"/>
    <cellStyle name="Comma  - Style8 2" xfId="248" xr:uid="{00000000-0005-0000-0000-0000A1000000}"/>
    <cellStyle name="Comma  - Style8 3" xfId="249" xr:uid="{00000000-0005-0000-0000-0000A2000000}"/>
    <cellStyle name="Comma (0)" xfId="250" xr:uid="{00000000-0005-0000-0000-0000A3000000}"/>
    <cellStyle name="Comma [0] 2" xfId="251" xr:uid="{00000000-0005-0000-0000-0000A4000000}"/>
    <cellStyle name="Comma 10" xfId="252" xr:uid="{00000000-0005-0000-0000-0000A5000000}"/>
    <cellStyle name="Comma 11" xfId="501" xr:uid="{00000000-0005-0000-0000-0000A6000000}"/>
    <cellStyle name="Comma 12" xfId="505" xr:uid="{00000000-0005-0000-0000-0000A7000000}"/>
    <cellStyle name="Comma 2" xfId="4" xr:uid="{00000000-0005-0000-0000-0000A8000000}"/>
    <cellStyle name="Comma 2 2" xfId="5" xr:uid="{00000000-0005-0000-0000-0000A9000000}"/>
    <cellStyle name="Comma 2 2 2" xfId="253" xr:uid="{00000000-0005-0000-0000-0000AA000000}"/>
    <cellStyle name="Comma 2 3" xfId="254" xr:uid="{00000000-0005-0000-0000-0000AB000000}"/>
    <cellStyle name="Comma 2 4" xfId="255" xr:uid="{00000000-0005-0000-0000-0000AC000000}"/>
    <cellStyle name="Comma 2 5" xfId="256" xr:uid="{00000000-0005-0000-0000-0000AD000000}"/>
    <cellStyle name="Comma 2 6" xfId="257" xr:uid="{00000000-0005-0000-0000-0000AE000000}"/>
    <cellStyle name="Comma 3" xfId="6" xr:uid="{00000000-0005-0000-0000-0000AF000000}"/>
    <cellStyle name="Comma 3 2" xfId="258" xr:uid="{00000000-0005-0000-0000-0000B0000000}"/>
    <cellStyle name="Comma 4" xfId="7" xr:uid="{00000000-0005-0000-0000-0000B1000000}"/>
    <cellStyle name="Comma 4 2" xfId="259" xr:uid="{00000000-0005-0000-0000-0000B2000000}"/>
    <cellStyle name="Comma 5" xfId="8" xr:uid="{00000000-0005-0000-0000-0000B3000000}"/>
    <cellStyle name="Comma 6" xfId="87" xr:uid="{00000000-0005-0000-0000-0000B4000000}"/>
    <cellStyle name="Comma 6 2" xfId="260" xr:uid="{00000000-0005-0000-0000-0000B5000000}"/>
    <cellStyle name="Comma 7" xfId="261" xr:uid="{00000000-0005-0000-0000-0000B6000000}"/>
    <cellStyle name="Comma 8" xfId="262" xr:uid="{00000000-0005-0000-0000-0000B7000000}"/>
    <cellStyle name="Comma 9" xfId="263" xr:uid="{00000000-0005-0000-0000-0000B8000000}"/>
    <cellStyle name="Comma0" xfId="82" xr:uid="{00000000-0005-0000-0000-0000B9000000}"/>
    <cellStyle name="Comma0 - Style1" xfId="264" xr:uid="{00000000-0005-0000-0000-0000BA000000}"/>
    <cellStyle name="Comma0 - Style2" xfId="265" xr:uid="{00000000-0005-0000-0000-0000BB000000}"/>
    <cellStyle name="Comma0 - Style3" xfId="266" xr:uid="{00000000-0005-0000-0000-0000BC000000}"/>
    <cellStyle name="Comma0 - Style4" xfId="267" xr:uid="{00000000-0005-0000-0000-0000BD000000}"/>
    <cellStyle name="Comma0_1st Qtr 2009 Global Insight Factors" xfId="268" xr:uid="{00000000-0005-0000-0000-0000BE000000}"/>
    <cellStyle name="Comma1 - Style1" xfId="269" xr:uid="{00000000-0005-0000-0000-0000BF000000}"/>
    <cellStyle name="Curren - Style2" xfId="270" xr:uid="{00000000-0005-0000-0000-0000C0000000}"/>
    <cellStyle name="Curren - Style3" xfId="271" xr:uid="{00000000-0005-0000-0000-0000C1000000}"/>
    <cellStyle name="Currency" xfId="503" builtinId="4"/>
    <cellStyle name="Currency 2" xfId="9" xr:uid="{00000000-0005-0000-0000-0000C3000000}"/>
    <cellStyle name="Currency 2 2" xfId="272" xr:uid="{00000000-0005-0000-0000-0000C4000000}"/>
    <cellStyle name="Currency 2 2 2" xfId="273" xr:uid="{00000000-0005-0000-0000-0000C5000000}"/>
    <cellStyle name="Currency 3" xfId="10" xr:uid="{00000000-0005-0000-0000-0000C6000000}"/>
    <cellStyle name="Currency 3 2" xfId="274" xr:uid="{00000000-0005-0000-0000-0000C7000000}"/>
    <cellStyle name="Currency 4" xfId="11" xr:uid="{00000000-0005-0000-0000-0000C8000000}"/>
    <cellStyle name="Currency 4 2" xfId="275" xr:uid="{00000000-0005-0000-0000-0000C9000000}"/>
    <cellStyle name="Currency 5" xfId="276" xr:uid="{00000000-0005-0000-0000-0000CA000000}"/>
    <cellStyle name="Currency 6" xfId="277" xr:uid="{00000000-0005-0000-0000-0000CB000000}"/>
    <cellStyle name="Currency 7" xfId="278" xr:uid="{00000000-0005-0000-0000-0000CC000000}"/>
    <cellStyle name="Currency 8" xfId="279" xr:uid="{00000000-0005-0000-0000-0000CD000000}"/>
    <cellStyle name="Currency 9" xfId="506" xr:uid="{00000000-0005-0000-0000-0000CE000000}"/>
    <cellStyle name="Currency No Comma" xfId="12" xr:uid="{00000000-0005-0000-0000-0000CF000000}"/>
    <cellStyle name="Currency(0)" xfId="280" xr:uid="{00000000-0005-0000-0000-0000D0000000}"/>
    <cellStyle name="Currency0" xfId="83" xr:uid="{00000000-0005-0000-0000-0000D1000000}"/>
    <cellStyle name="Date" xfId="84" xr:uid="{00000000-0005-0000-0000-0000D2000000}"/>
    <cellStyle name="Date - Style1" xfId="281" xr:uid="{00000000-0005-0000-0000-0000D3000000}"/>
    <cellStyle name="Date - Style3" xfId="282" xr:uid="{00000000-0005-0000-0000-0000D4000000}"/>
    <cellStyle name="Date_1st Qtr 2009 Global Insight Factors" xfId="283" xr:uid="{00000000-0005-0000-0000-0000D5000000}"/>
    <cellStyle name="Explanatory Text 2" xfId="284" xr:uid="{00000000-0005-0000-0000-0000D6000000}"/>
    <cellStyle name="Explanatory Text 3" xfId="285" xr:uid="{00000000-0005-0000-0000-0000D7000000}"/>
    <cellStyle name="Explanatory Text 4" xfId="286" xr:uid="{00000000-0005-0000-0000-0000D8000000}"/>
    <cellStyle name="Explanatory Text 5" xfId="287" xr:uid="{00000000-0005-0000-0000-0000D9000000}"/>
    <cellStyle name="Explanatory Text 6" xfId="288" xr:uid="{00000000-0005-0000-0000-0000DA000000}"/>
    <cellStyle name="Fixed" xfId="85" xr:uid="{00000000-0005-0000-0000-0000DB000000}"/>
    <cellStyle name="Fixed2 - Style2" xfId="289" xr:uid="{00000000-0005-0000-0000-0000DC000000}"/>
    <cellStyle name="General" xfId="13" xr:uid="{00000000-0005-0000-0000-0000DD000000}"/>
    <cellStyle name="Good 2" xfId="290" xr:uid="{00000000-0005-0000-0000-0000DE000000}"/>
    <cellStyle name="Good 3" xfId="291" xr:uid="{00000000-0005-0000-0000-0000DF000000}"/>
    <cellStyle name="Good 4" xfId="292" xr:uid="{00000000-0005-0000-0000-0000E0000000}"/>
    <cellStyle name="Good 5" xfId="293" xr:uid="{00000000-0005-0000-0000-0000E1000000}"/>
    <cellStyle name="Good 6" xfId="294" xr:uid="{00000000-0005-0000-0000-0000E2000000}"/>
    <cellStyle name="Grey" xfId="295" xr:uid="{00000000-0005-0000-0000-0000E3000000}"/>
    <cellStyle name="Grey 2" xfId="296" xr:uid="{00000000-0005-0000-0000-0000E4000000}"/>
    <cellStyle name="Grey 3" xfId="297" xr:uid="{00000000-0005-0000-0000-0000E5000000}"/>
    <cellStyle name="header" xfId="298" xr:uid="{00000000-0005-0000-0000-0000E6000000}"/>
    <cellStyle name="Header1" xfId="299" xr:uid="{00000000-0005-0000-0000-0000E7000000}"/>
    <cellStyle name="Header2" xfId="300" xr:uid="{00000000-0005-0000-0000-0000E8000000}"/>
    <cellStyle name="Heading 2 2" xfId="499" xr:uid="{00000000-0005-0000-0000-0000E9000000}"/>
    <cellStyle name="Heading 3 2" xfId="301" xr:uid="{00000000-0005-0000-0000-0000EA000000}"/>
    <cellStyle name="Heading 3 3" xfId="302" xr:uid="{00000000-0005-0000-0000-0000EB000000}"/>
    <cellStyle name="Heading 3 4" xfId="303" xr:uid="{00000000-0005-0000-0000-0000EC000000}"/>
    <cellStyle name="Heading 3 5" xfId="304" xr:uid="{00000000-0005-0000-0000-0000ED000000}"/>
    <cellStyle name="Heading 3 6" xfId="305" xr:uid="{00000000-0005-0000-0000-0000EE000000}"/>
    <cellStyle name="Heading 4 2" xfId="306" xr:uid="{00000000-0005-0000-0000-0000EF000000}"/>
    <cellStyle name="Heading 4 3" xfId="307" xr:uid="{00000000-0005-0000-0000-0000F0000000}"/>
    <cellStyle name="Heading 4 4" xfId="308" xr:uid="{00000000-0005-0000-0000-0000F1000000}"/>
    <cellStyle name="Heading 4 5" xfId="309" xr:uid="{00000000-0005-0000-0000-0000F2000000}"/>
    <cellStyle name="Heading 4 6" xfId="310" xr:uid="{00000000-0005-0000-0000-0000F3000000}"/>
    <cellStyle name="Heading1" xfId="311" xr:uid="{00000000-0005-0000-0000-0000F4000000}"/>
    <cellStyle name="Heading2" xfId="312" xr:uid="{00000000-0005-0000-0000-0000F5000000}"/>
    <cellStyle name="Hyperlink 2" xfId="313" xr:uid="{00000000-0005-0000-0000-0000F6000000}"/>
    <cellStyle name="Hyperlink 2 2" xfId="314" xr:uid="{00000000-0005-0000-0000-0000F7000000}"/>
    <cellStyle name="Hyperlink 2 3" xfId="315" xr:uid="{00000000-0005-0000-0000-0000F8000000}"/>
    <cellStyle name="Hyperlink 3" xfId="316" xr:uid="{00000000-0005-0000-0000-0000F9000000}"/>
    <cellStyle name="Hyperlink 4" xfId="317" xr:uid="{00000000-0005-0000-0000-0000FA000000}"/>
    <cellStyle name="Input [yellow]" xfId="318" xr:uid="{00000000-0005-0000-0000-0000FB000000}"/>
    <cellStyle name="Input [yellow] 2" xfId="319" xr:uid="{00000000-0005-0000-0000-0000FC000000}"/>
    <cellStyle name="Input [yellow] 3" xfId="320" xr:uid="{00000000-0005-0000-0000-0000FD000000}"/>
    <cellStyle name="Inst. Sections" xfId="321" xr:uid="{00000000-0005-0000-0000-0000FE000000}"/>
    <cellStyle name="Inst. Subheading" xfId="322" xr:uid="{00000000-0005-0000-0000-0000FF000000}"/>
    <cellStyle name="Linked Cell 2" xfId="323" xr:uid="{00000000-0005-0000-0000-000000010000}"/>
    <cellStyle name="Linked Cell 3" xfId="324" xr:uid="{00000000-0005-0000-0000-000001010000}"/>
    <cellStyle name="Linked Cell 4" xfId="325" xr:uid="{00000000-0005-0000-0000-000002010000}"/>
    <cellStyle name="Linked Cell 5" xfId="326" xr:uid="{00000000-0005-0000-0000-000003010000}"/>
    <cellStyle name="Linked Cell 6" xfId="327" xr:uid="{00000000-0005-0000-0000-000004010000}"/>
    <cellStyle name="Macro" xfId="328" xr:uid="{00000000-0005-0000-0000-000005010000}"/>
    <cellStyle name="macro descr" xfId="329" xr:uid="{00000000-0005-0000-0000-000006010000}"/>
    <cellStyle name="Macro_Comments" xfId="330" xr:uid="{00000000-0005-0000-0000-000007010000}"/>
    <cellStyle name="MacroText" xfId="331" xr:uid="{00000000-0005-0000-0000-000008010000}"/>
    <cellStyle name="Marathon" xfId="332" xr:uid="{00000000-0005-0000-0000-000009010000}"/>
    <cellStyle name="MCP" xfId="14" xr:uid="{00000000-0005-0000-0000-00000A010000}"/>
    <cellStyle name="Neutral 2" xfId="333" xr:uid="{00000000-0005-0000-0000-00000B010000}"/>
    <cellStyle name="Neutral 3" xfId="334" xr:uid="{00000000-0005-0000-0000-00000C010000}"/>
    <cellStyle name="Neutral 4" xfId="335" xr:uid="{00000000-0005-0000-0000-00000D010000}"/>
    <cellStyle name="Neutral 5" xfId="336" xr:uid="{00000000-0005-0000-0000-00000E010000}"/>
    <cellStyle name="Neutral 6" xfId="337" xr:uid="{00000000-0005-0000-0000-00000F010000}"/>
    <cellStyle name="nONE" xfId="15" xr:uid="{00000000-0005-0000-0000-000010010000}"/>
    <cellStyle name="noninput" xfId="16" xr:uid="{00000000-0005-0000-0000-000011010000}"/>
    <cellStyle name="noninput 2" xfId="338" xr:uid="{00000000-0005-0000-0000-000012010000}"/>
    <cellStyle name="noninput 3" xfId="339" xr:uid="{00000000-0005-0000-0000-000013010000}"/>
    <cellStyle name="Normal" xfId="0" builtinId="0"/>
    <cellStyle name="Normal - Style1" xfId="340" xr:uid="{00000000-0005-0000-0000-000015010000}"/>
    <cellStyle name="Normal - Style1 2" xfId="341" xr:uid="{00000000-0005-0000-0000-000016010000}"/>
    <cellStyle name="Normal - Style1 3" xfId="342" xr:uid="{00000000-0005-0000-0000-000017010000}"/>
    <cellStyle name="Normal 10" xfId="86" xr:uid="{00000000-0005-0000-0000-000018010000}"/>
    <cellStyle name="Normal 11" xfId="343" xr:uid="{00000000-0005-0000-0000-000019010000}"/>
    <cellStyle name="Normal 117" xfId="344" xr:uid="{00000000-0005-0000-0000-00001A010000}"/>
    <cellStyle name="Normal 12" xfId="345" xr:uid="{00000000-0005-0000-0000-00001B010000}"/>
    <cellStyle name="Normal 122" xfId="346" xr:uid="{00000000-0005-0000-0000-00001C010000}"/>
    <cellStyle name="Normal 13" xfId="347" xr:uid="{00000000-0005-0000-0000-00001D010000}"/>
    <cellStyle name="Normal 14" xfId="348" xr:uid="{00000000-0005-0000-0000-00001E010000}"/>
    <cellStyle name="Normal 15" xfId="349" xr:uid="{00000000-0005-0000-0000-00001F010000}"/>
    <cellStyle name="Normal 16" xfId="500" xr:uid="{00000000-0005-0000-0000-000020010000}"/>
    <cellStyle name="Normal 17" xfId="504" xr:uid="{00000000-0005-0000-0000-000021010000}"/>
    <cellStyle name="Normal 2" xfId="17" xr:uid="{00000000-0005-0000-0000-000022010000}"/>
    <cellStyle name="Normal 2 2" xfId="18" xr:uid="{00000000-0005-0000-0000-000023010000}"/>
    <cellStyle name="Normal 2 3" xfId="19" xr:uid="{00000000-0005-0000-0000-000024010000}"/>
    <cellStyle name="Normal 2 3 2" xfId="350" xr:uid="{00000000-0005-0000-0000-000025010000}"/>
    <cellStyle name="Normal 2 3 2 2" xfId="351" xr:uid="{00000000-0005-0000-0000-000026010000}"/>
    <cellStyle name="Normal 2 3 3" xfId="352" xr:uid="{00000000-0005-0000-0000-000027010000}"/>
    <cellStyle name="Normal 2 3 4" xfId="353" xr:uid="{00000000-0005-0000-0000-000028010000}"/>
    <cellStyle name="Normal 2 3 5" xfId="354" xr:uid="{00000000-0005-0000-0000-000029010000}"/>
    <cellStyle name="Normal 2 3 6" xfId="355" xr:uid="{00000000-0005-0000-0000-00002A010000}"/>
    <cellStyle name="Normal 2 4" xfId="356" xr:uid="{00000000-0005-0000-0000-00002B010000}"/>
    <cellStyle name="Normal 2 5" xfId="357" xr:uid="{00000000-0005-0000-0000-00002C010000}"/>
    <cellStyle name="Normal 2 5 2" xfId="358" xr:uid="{00000000-0005-0000-0000-00002D010000}"/>
    <cellStyle name="Normal 2 6" xfId="359" xr:uid="{00000000-0005-0000-0000-00002E010000}"/>
    <cellStyle name="Normal 2 7" xfId="360" xr:uid="{00000000-0005-0000-0000-00002F010000}"/>
    <cellStyle name="Normal 2 8" xfId="361" xr:uid="{00000000-0005-0000-0000-000030010000}"/>
    <cellStyle name="Normal 3" xfId="20" xr:uid="{00000000-0005-0000-0000-000031010000}"/>
    <cellStyle name="Normal 3 2" xfId="21" xr:uid="{00000000-0005-0000-0000-000032010000}"/>
    <cellStyle name="Normal 3 2 2" xfId="362" xr:uid="{00000000-0005-0000-0000-000033010000}"/>
    <cellStyle name="Normal 3 2 2 2" xfId="363" xr:uid="{00000000-0005-0000-0000-000034010000}"/>
    <cellStyle name="Normal 3 2 3" xfId="364" xr:uid="{00000000-0005-0000-0000-000035010000}"/>
    <cellStyle name="Normal 3 2 4" xfId="365" xr:uid="{00000000-0005-0000-0000-000036010000}"/>
    <cellStyle name="Normal 3 2 5" xfId="366" xr:uid="{00000000-0005-0000-0000-000037010000}"/>
    <cellStyle name="Normal 3 2 6" xfId="367" xr:uid="{00000000-0005-0000-0000-000038010000}"/>
    <cellStyle name="Normal 3 3" xfId="368" xr:uid="{00000000-0005-0000-0000-000039010000}"/>
    <cellStyle name="Normal 3 4" xfId="369" xr:uid="{00000000-0005-0000-0000-00003A010000}"/>
    <cellStyle name="Normal 3 5" xfId="370" xr:uid="{00000000-0005-0000-0000-00003B010000}"/>
    <cellStyle name="Normal 3 5 2" xfId="371" xr:uid="{00000000-0005-0000-0000-00003C010000}"/>
    <cellStyle name="Normal 3 6" xfId="372" xr:uid="{00000000-0005-0000-0000-00003D010000}"/>
    <cellStyle name="Normal 3 7" xfId="373" xr:uid="{00000000-0005-0000-0000-00003E010000}"/>
    <cellStyle name="Normal 3 8" xfId="374" xr:uid="{00000000-0005-0000-0000-00003F010000}"/>
    <cellStyle name="Normal 4" xfId="22" xr:uid="{00000000-0005-0000-0000-000040010000}"/>
    <cellStyle name="Normal 4 2" xfId="23" xr:uid="{00000000-0005-0000-0000-000041010000}"/>
    <cellStyle name="Normal 4 3" xfId="375" xr:uid="{00000000-0005-0000-0000-000042010000}"/>
    <cellStyle name="Normal 4 4" xfId="376" xr:uid="{00000000-0005-0000-0000-000043010000}"/>
    <cellStyle name="Normal 4 5" xfId="377" xr:uid="{00000000-0005-0000-0000-000044010000}"/>
    <cellStyle name="Normal 4 6" xfId="378" xr:uid="{00000000-0005-0000-0000-000045010000}"/>
    <cellStyle name="Normal 4 7" xfId="379" xr:uid="{00000000-0005-0000-0000-000046010000}"/>
    <cellStyle name="Normal 5" xfId="24" xr:uid="{00000000-0005-0000-0000-000047010000}"/>
    <cellStyle name="Normal 5 2" xfId="25" xr:uid="{00000000-0005-0000-0000-000048010000}"/>
    <cellStyle name="Normal 6" xfId="26" xr:uid="{00000000-0005-0000-0000-000049010000}"/>
    <cellStyle name="Normal 6 2" xfId="380" xr:uid="{00000000-0005-0000-0000-00004A010000}"/>
    <cellStyle name="Normal 6 3" xfId="381" xr:uid="{00000000-0005-0000-0000-00004B010000}"/>
    <cellStyle name="Normal 7" xfId="27" xr:uid="{00000000-0005-0000-0000-00004C010000}"/>
    <cellStyle name="Normal 8" xfId="28" xr:uid="{00000000-0005-0000-0000-00004D010000}"/>
    <cellStyle name="Normal 8 2" xfId="382" xr:uid="{00000000-0005-0000-0000-00004E010000}"/>
    <cellStyle name="Normal 8 3" xfId="383" xr:uid="{00000000-0005-0000-0000-00004F010000}"/>
    <cellStyle name="Normal 9" xfId="29" xr:uid="{00000000-0005-0000-0000-000050010000}"/>
    <cellStyle name="Normal(0)" xfId="384" xr:uid="{00000000-0005-0000-0000-000051010000}"/>
    <cellStyle name="Normal_Blocking" xfId="1" xr:uid="{00000000-0005-0000-0000-000052010000}"/>
    <cellStyle name="Normal_Blocking 03-01" xfId="81" xr:uid="{00000000-0005-0000-0000-000053010000}"/>
    <cellStyle name="Normal_ID Blocking_v2" xfId="3" xr:uid="{00000000-0005-0000-0000-000055010000}"/>
    <cellStyle name="Normal_Idaho June  2008 SEMI" xfId="2" xr:uid="{00000000-0005-0000-0000-000056010000}"/>
    <cellStyle name="Note 2" xfId="30" xr:uid="{00000000-0005-0000-0000-000057010000}"/>
    <cellStyle name="Note 3" xfId="31" xr:uid="{00000000-0005-0000-0000-000058010000}"/>
    <cellStyle name="Note 4" xfId="385" xr:uid="{00000000-0005-0000-0000-000059010000}"/>
    <cellStyle name="Note 5" xfId="386" xr:uid="{00000000-0005-0000-0000-00005A010000}"/>
    <cellStyle name="Note 6" xfId="387" xr:uid="{00000000-0005-0000-0000-00005B010000}"/>
    <cellStyle name="Number" xfId="388" xr:uid="{00000000-0005-0000-0000-00005C010000}"/>
    <cellStyle name="Number 10" xfId="389" xr:uid="{00000000-0005-0000-0000-00005D010000}"/>
    <cellStyle name="Number 11" xfId="390" xr:uid="{00000000-0005-0000-0000-00005E010000}"/>
    <cellStyle name="Number 12" xfId="391" xr:uid="{00000000-0005-0000-0000-00005F010000}"/>
    <cellStyle name="Number 13" xfId="392" xr:uid="{00000000-0005-0000-0000-000060010000}"/>
    <cellStyle name="Number 14" xfId="393" xr:uid="{00000000-0005-0000-0000-000061010000}"/>
    <cellStyle name="Number 2" xfId="394" xr:uid="{00000000-0005-0000-0000-000062010000}"/>
    <cellStyle name="Number 3" xfId="395" xr:uid="{00000000-0005-0000-0000-000063010000}"/>
    <cellStyle name="Number 4" xfId="396" xr:uid="{00000000-0005-0000-0000-000064010000}"/>
    <cellStyle name="Number 5" xfId="397" xr:uid="{00000000-0005-0000-0000-000065010000}"/>
    <cellStyle name="Number 6" xfId="398" xr:uid="{00000000-0005-0000-0000-000066010000}"/>
    <cellStyle name="Number 7" xfId="399" xr:uid="{00000000-0005-0000-0000-000067010000}"/>
    <cellStyle name="Number 8" xfId="400" xr:uid="{00000000-0005-0000-0000-000068010000}"/>
    <cellStyle name="Number 9" xfId="401" xr:uid="{00000000-0005-0000-0000-000069010000}"/>
    <cellStyle name="Output 2" xfId="402" xr:uid="{00000000-0005-0000-0000-00006A010000}"/>
    <cellStyle name="Output 3" xfId="403" xr:uid="{00000000-0005-0000-0000-00006B010000}"/>
    <cellStyle name="Output 4" xfId="404" xr:uid="{00000000-0005-0000-0000-00006C010000}"/>
    <cellStyle name="Output 5" xfId="405" xr:uid="{00000000-0005-0000-0000-00006D010000}"/>
    <cellStyle name="Output 6" xfId="406" xr:uid="{00000000-0005-0000-0000-00006E010000}"/>
    <cellStyle name="Password" xfId="32" xr:uid="{00000000-0005-0000-0000-00006F010000}"/>
    <cellStyle name="Percen - Style1" xfId="407" xr:uid="{00000000-0005-0000-0000-000070010000}"/>
    <cellStyle name="Percen - Style2" xfId="408" xr:uid="{00000000-0005-0000-0000-000071010000}"/>
    <cellStyle name="Percent [2]" xfId="409" xr:uid="{00000000-0005-0000-0000-000072010000}"/>
    <cellStyle name="Percent [2] 2" xfId="410" xr:uid="{00000000-0005-0000-0000-000073010000}"/>
    <cellStyle name="Percent [2] 3" xfId="411" xr:uid="{00000000-0005-0000-0000-000074010000}"/>
    <cellStyle name="Percent 2" xfId="33" xr:uid="{00000000-0005-0000-0000-000075010000}"/>
    <cellStyle name="Percent 2 2" xfId="412" xr:uid="{00000000-0005-0000-0000-000076010000}"/>
    <cellStyle name="Percent 2 2 2" xfId="413" xr:uid="{00000000-0005-0000-0000-000077010000}"/>
    <cellStyle name="Percent 2 3" xfId="414" xr:uid="{00000000-0005-0000-0000-000078010000}"/>
    <cellStyle name="Percent 3" xfId="34" xr:uid="{00000000-0005-0000-0000-000079010000}"/>
    <cellStyle name="Percent 3 2" xfId="415" xr:uid="{00000000-0005-0000-0000-00007A010000}"/>
    <cellStyle name="Percent 4" xfId="35" xr:uid="{00000000-0005-0000-0000-00007B010000}"/>
    <cellStyle name="Percent 4 2" xfId="416" xr:uid="{00000000-0005-0000-0000-00007C010000}"/>
    <cellStyle name="Percent 5" xfId="417" xr:uid="{00000000-0005-0000-0000-00007D010000}"/>
    <cellStyle name="Percent 6" xfId="418" xr:uid="{00000000-0005-0000-0000-00007E010000}"/>
    <cellStyle name="Percent 7" xfId="419" xr:uid="{00000000-0005-0000-0000-00007F010000}"/>
    <cellStyle name="Percent 8" xfId="420" xr:uid="{00000000-0005-0000-0000-000080010000}"/>
    <cellStyle name="Percent 9" xfId="507" xr:uid="{00000000-0005-0000-0000-000081010000}"/>
    <cellStyle name="Percent(0)" xfId="421" xr:uid="{00000000-0005-0000-0000-000082010000}"/>
    <cellStyle name="SAPBEXaggData" xfId="36" xr:uid="{00000000-0005-0000-0000-000083010000}"/>
    <cellStyle name="SAPBEXaggDataEmph" xfId="37" xr:uid="{00000000-0005-0000-0000-000084010000}"/>
    <cellStyle name="SAPBEXaggItem" xfId="38" xr:uid="{00000000-0005-0000-0000-000085010000}"/>
    <cellStyle name="SAPBEXaggItemX" xfId="39" xr:uid="{00000000-0005-0000-0000-000086010000}"/>
    <cellStyle name="SAPBEXchaText" xfId="40" xr:uid="{00000000-0005-0000-0000-000087010000}"/>
    <cellStyle name="SAPBEXexcBad7" xfId="41" xr:uid="{00000000-0005-0000-0000-000088010000}"/>
    <cellStyle name="SAPBEXexcBad8" xfId="42" xr:uid="{00000000-0005-0000-0000-000089010000}"/>
    <cellStyle name="SAPBEXexcBad9" xfId="43" xr:uid="{00000000-0005-0000-0000-00008A010000}"/>
    <cellStyle name="SAPBEXexcCritical4" xfId="44" xr:uid="{00000000-0005-0000-0000-00008B010000}"/>
    <cellStyle name="SAPBEXexcCritical5" xfId="45" xr:uid="{00000000-0005-0000-0000-00008C010000}"/>
    <cellStyle name="SAPBEXexcCritical6" xfId="46" xr:uid="{00000000-0005-0000-0000-00008D010000}"/>
    <cellStyle name="SAPBEXexcGood1" xfId="47" xr:uid="{00000000-0005-0000-0000-00008E010000}"/>
    <cellStyle name="SAPBEXexcGood2" xfId="48" xr:uid="{00000000-0005-0000-0000-00008F010000}"/>
    <cellStyle name="SAPBEXexcGood3" xfId="49" xr:uid="{00000000-0005-0000-0000-000090010000}"/>
    <cellStyle name="SAPBEXfilterDrill" xfId="50" xr:uid="{00000000-0005-0000-0000-000091010000}"/>
    <cellStyle name="SAPBEXfilterItem" xfId="51" xr:uid="{00000000-0005-0000-0000-000092010000}"/>
    <cellStyle name="SAPBEXfilterText" xfId="52" xr:uid="{00000000-0005-0000-0000-000093010000}"/>
    <cellStyle name="SAPBEXfilterText 2" xfId="422" xr:uid="{00000000-0005-0000-0000-000094010000}"/>
    <cellStyle name="SAPBEXfilterText 3" xfId="423" xr:uid="{00000000-0005-0000-0000-000095010000}"/>
    <cellStyle name="SAPBEXformats" xfId="53" xr:uid="{00000000-0005-0000-0000-000096010000}"/>
    <cellStyle name="SAPBEXheaderItem" xfId="54" xr:uid="{00000000-0005-0000-0000-000097010000}"/>
    <cellStyle name="SAPBEXheaderItem 2" xfId="424" xr:uid="{00000000-0005-0000-0000-000098010000}"/>
    <cellStyle name="SAPBEXheaderItem 3" xfId="425" xr:uid="{00000000-0005-0000-0000-000099010000}"/>
    <cellStyle name="SAPBEXheaderItem 4" xfId="426" xr:uid="{00000000-0005-0000-0000-00009A010000}"/>
    <cellStyle name="SAPBEXheaderText" xfId="55" xr:uid="{00000000-0005-0000-0000-00009B010000}"/>
    <cellStyle name="SAPBEXheaderText 2" xfId="427" xr:uid="{00000000-0005-0000-0000-00009C010000}"/>
    <cellStyle name="SAPBEXheaderText 3" xfId="428" xr:uid="{00000000-0005-0000-0000-00009D010000}"/>
    <cellStyle name="SAPBEXheaderText 4" xfId="429" xr:uid="{00000000-0005-0000-0000-00009E010000}"/>
    <cellStyle name="SAPBEXHLevel0" xfId="56" xr:uid="{00000000-0005-0000-0000-00009F010000}"/>
    <cellStyle name="SAPBEXHLevel0 2" xfId="430" xr:uid="{00000000-0005-0000-0000-0000A0010000}"/>
    <cellStyle name="SAPBEXHLevel0 3" xfId="431" xr:uid="{00000000-0005-0000-0000-0000A1010000}"/>
    <cellStyle name="SAPBEXHLevel0 4" xfId="432" xr:uid="{00000000-0005-0000-0000-0000A2010000}"/>
    <cellStyle name="SAPBEXHLevel0 5" xfId="433" xr:uid="{00000000-0005-0000-0000-0000A3010000}"/>
    <cellStyle name="SAPBEXHLevel0 6" xfId="434" xr:uid="{00000000-0005-0000-0000-0000A4010000}"/>
    <cellStyle name="SAPBEXHLevel0X" xfId="57" xr:uid="{00000000-0005-0000-0000-0000A5010000}"/>
    <cellStyle name="SAPBEXHLevel0X 2" xfId="435" xr:uid="{00000000-0005-0000-0000-0000A6010000}"/>
    <cellStyle name="SAPBEXHLevel0X 3" xfId="436" xr:uid="{00000000-0005-0000-0000-0000A7010000}"/>
    <cellStyle name="SAPBEXHLevel0X 4" xfId="437" xr:uid="{00000000-0005-0000-0000-0000A8010000}"/>
    <cellStyle name="SAPBEXHLevel0X 5" xfId="438" xr:uid="{00000000-0005-0000-0000-0000A9010000}"/>
    <cellStyle name="SAPBEXHLevel0X 6" xfId="439" xr:uid="{00000000-0005-0000-0000-0000AA010000}"/>
    <cellStyle name="SAPBEXHLevel1" xfId="58" xr:uid="{00000000-0005-0000-0000-0000AB010000}"/>
    <cellStyle name="SAPBEXHLevel1 2" xfId="440" xr:uid="{00000000-0005-0000-0000-0000AC010000}"/>
    <cellStyle name="SAPBEXHLevel1 3" xfId="441" xr:uid="{00000000-0005-0000-0000-0000AD010000}"/>
    <cellStyle name="SAPBEXHLevel1 4" xfId="442" xr:uid="{00000000-0005-0000-0000-0000AE010000}"/>
    <cellStyle name="SAPBEXHLevel1 5" xfId="443" xr:uid="{00000000-0005-0000-0000-0000AF010000}"/>
    <cellStyle name="SAPBEXHLevel1 6" xfId="444" xr:uid="{00000000-0005-0000-0000-0000B0010000}"/>
    <cellStyle name="SAPBEXHLevel1X" xfId="59" xr:uid="{00000000-0005-0000-0000-0000B1010000}"/>
    <cellStyle name="SAPBEXHLevel1X 2" xfId="445" xr:uid="{00000000-0005-0000-0000-0000B2010000}"/>
    <cellStyle name="SAPBEXHLevel1X 3" xfId="446" xr:uid="{00000000-0005-0000-0000-0000B3010000}"/>
    <cellStyle name="SAPBEXHLevel1X 4" xfId="447" xr:uid="{00000000-0005-0000-0000-0000B4010000}"/>
    <cellStyle name="SAPBEXHLevel1X 5" xfId="448" xr:uid="{00000000-0005-0000-0000-0000B5010000}"/>
    <cellStyle name="SAPBEXHLevel1X 6" xfId="449" xr:uid="{00000000-0005-0000-0000-0000B6010000}"/>
    <cellStyle name="SAPBEXHLevel2" xfId="60" xr:uid="{00000000-0005-0000-0000-0000B7010000}"/>
    <cellStyle name="SAPBEXHLevel2 2" xfId="450" xr:uid="{00000000-0005-0000-0000-0000B8010000}"/>
    <cellStyle name="SAPBEXHLevel2 3" xfId="451" xr:uid="{00000000-0005-0000-0000-0000B9010000}"/>
    <cellStyle name="SAPBEXHLevel2 4" xfId="452" xr:uid="{00000000-0005-0000-0000-0000BA010000}"/>
    <cellStyle name="SAPBEXHLevel2 5" xfId="453" xr:uid="{00000000-0005-0000-0000-0000BB010000}"/>
    <cellStyle name="SAPBEXHLevel2 6" xfId="454" xr:uid="{00000000-0005-0000-0000-0000BC010000}"/>
    <cellStyle name="SAPBEXHLevel2X" xfId="61" xr:uid="{00000000-0005-0000-0000-0000BD010000}"/>
    <cellStyle name="SAPBEXHLevel2X 2" xfId="455" xr:uid="{00000000-0005-0000-0000-0000BE010000}"/>
    <cellStyle name="SAPBEXHLevel2X 3" xfId="456" xr:uid="{00000000-0005-0000-0000-0000BF010000}"/>
    <cellStyle name="SAPBEXHLevel2X 4" xfId="457" xr:uid="{00000000-0005-0000-0000-0000C0010000}"/>
    <cellStyle name="SAPBEXHLevel2X 5" xfId="458" xr:uid="{00000000-0005-0000-0000-0000C1010000}"/>
    <cellStyle name="SAPBEXHLevel2X 6" xfId="459" xr:uid="{00000000-0005-0000-0000-0000C2010000}"/>
    <cellStyle name="SAPBEXHLevel3" xfId="62" xr:uid="{00000000-0005-0000-0000-0000C3010000}"/>
    <cellStyle name="SAPBEXHLevel3 2" xfId="460" xr:uid="{00000000-0005-0000-0000-0000C4010000}"/>
    <cellStyle name="SAPBEXHLevel3 3" xfId="461" xr:uid="{00000000-0005-0000-0000-0000C5010000}"/>
    <cellStyle name="SAPBEXHLevel3 4" xfId="462" xr:uid="{00000000-0005-0000-0000-0000C6010000}"/>
    <cellStyle name="SAPBEXHLevel3 5" xfId="463" xr:uid="{00000000-0005-0000-0000-0000C7010000}"/>
    <cellStyle name="SAPBEXHLevel3 6" xfId="464" xr:uid="{00000000-0005-0000-0000-0000C8010000}"/>
    <cellStyle name="SAPBEXHLevel3X" xfId="63" xr:uid="{00000000-0005-0000-0000-0000C9010000}"/>
    <cellStyle name="SAPBEXHLevel3X 2" xfId="465" xr:uid="{00000000-0005-0000-0000-0000CA010000}"/>
    <cellStyle name="SAPBEXHLevel3X 3" xfId="466" xr:uid="{00000000-0005-0000-0000-0000CB010000}"/>
    <cellStyle name="SAPBEXHLevel3X 4" xfId="467" xr:uid="{00000000-0005-0000-0000-0000CC010000}"/>
    <cellStyle name="SAPBEXHLevel3X 5" xfId="468" xr:uid="{00000000-0005-0000-0000-0000CD010000}"/>
    <cellStyle name="SAPBEXHLevel3X 6" xfId="469" xr:uid="{00000000-0005-0000-0000-0000CE010000}"/>
    <cellStyle name="SAPBEXresData" xfId="64" xr:uid="{00000000-0005-0000-0000-0000CF010000}"/>
    <cellStyle name="SAPBEXresDataEmph" xfId="65" xr:uid="{00000000-0005-0000-0000-0000D0010000}"/>
    <cellStyle name="SAPBEXresItem" xfId="66" xr:uid="{00000000-0005-0000-0000-0000D1010000}"/>
    <cellStyle name="SAPBEXresItemX" xfId="67" xr:uid="{00000000-0005-0000-0000-0000D2010000}"/>
    <cellStyle name="SAPBEXstdData" xfId="68" xr:uid="{00000000-0005-0000-0000-0000D3010000}"/>
    <cellStyle name="SAPBEXstdDataEmph" xfId="69" xr:uid="{00000000-0005-0000-0000-0000D4010000}"/>
    <cellStyle name="SAPBEXstdItem" xfId="70" xr:uid="{00000000-0005-0000-0000-0000D5010000}"/>
    <cellStyle name="SAPBEXstdItemX" xfId="71" xr:uid="{00000000-0005-0000-0000-0000D6010000}"/>
    <cellStyle name="SAPBEXtitle" xfId="72" xr:uid="{00000000-0005-0000-0000-0000D7010000}"/>
    <cellStyle name="SAPBEXtitle 2" xfId="470" xr:uid="{00000000-0005-0000-0000-0000D8010000}"/>
    <cellStyle name="SAPBEXtitle 3" xfId="471" xr:uid="{00000000-0005-0000-0000-0000D9010000}"/>
    <cellStyle name="SAPBEXtitle 4" xfId="472" xr:uid="{00000000-0005-0000-0000-0000DA010000}"/>
    <cellStyle name="SAPBEXundefined" xfId="73" xr:uid="{00000000-0005-0000-0000-0000DB010000}"/>
    <cellStyle name="Shade" xfId="473" xr:uid="{00000000-0005-0000-0000-0000DC010000}"/>
    <cellStyle name="Special" xfId="474" xr:uid="{00000000-0005-0000-0000-0000DD010000}"/>
    <cellStyle name="Special 2" xfId="475" xr:uid="{00000000-0005-0000-0000-0000DE010000}"/>
    <cellStyle name="Special 3" xfId="476" xr:uid="{00000000-0005-0000-0000-0000DF010000}"/>
    <cellStyle name="Style 1" xfId="477" xr:uid="{00000000-0005-0000-0000-0000E0010000}"/>
    <cellStyle name="Style 27" xfId="74" xr:uid="{00000000-0005-0000-0000-0000E1010000}"/>
    <cellStyle name="Style 35" xfId="75" xr:uid="{00000000-0005-0000-0000-0000E2010000}"/>
    <cellStyle name="Style 36" xfId="76" xr:uid="{00000000-0005-0000-0000-0000E3010000}"/>
    <cellStyle name="Text" xfId="478" xr:uid="{00000000-0005-0000-0000-0000E4010000}"/>
    <cellStyle name="Title 2" xfId="479" xr:uid="{00000000-0005-0000-0000-0000E5010000}"/>
    <cellStyle name="Title 3" xfId="480" xr:uid="{00000000-0005-0000-0000-0000E6010000}"/>
    <cellStyle name="Title 4" xfId="481" xr:uid="{00000000-0005-0000-0000-0000E7010000}"/>
    <cellStyle name="Title 5" xfId="482" xr:uid="{00000000-0005-0000-0000-0000E8010000}"/>
    <cellStyle name="Title 6" xfId="483" xr:uid="{00000000-0005-0000-0000-0000E9010000}"/>
    <cellStyle name="Titles" xfId="484" xr:uid="{00000000-0005-0000-0000-0000EA010000}"/>
    <cellStyle name="Total2 - Style2" xfId="485" xr:uid="{00000000-0005-0000-0000-0000EB010000}"/>
    <cellStyle name="TRANSMISSION RELIABILITY PORTION OF PROJECT" xfId="77" xr:uid="{00000000-0005-0000-0000-0000EC010000}"/>
    <cellStyle name="Underl - Style4" xfId="486" xr:uid="{00000000-0005-0000-0000-0000ED010000}"/>
    <cellStyle name="UNLocked" xfId="487" xr:uid="{00000000-0005-0000-0000-0000EE010000}"/>
    <cellStyle name="Unprot" xfId="78" xr:uid="{00000000-0005-0000-0000-0000EF010000}"/>
    <cellStyle name="Unprot 2" xfId="488" xr:uid="{00000000-0005-0000-0000-0000F0010000}"/>
    <cellStyle name="Unprot 3" xfId="489" xr:uid="{00000000-0005-0000-0000-0000F1010000}"/>
    <cellStyle name="Unprot$" xfId="79" xr:uid="{00000000-0005-0000-0000-0000F2010000}"/>
    <cellStyle name="Unprot$ 2" xfId="490" xr:uid="{00000000-0005-0000-0000-0000F3010000}"/>
    <cellStyle name="Unprot$ 3" xfId="491" xr:uid="{00000000-0005-0000-0000-0000F4010000}"/>
    <cellStyle name="Unprot$ 4" xfId="492" xr:uid="{00000000-0005-0000-0000-0000F5010000}"/>
    <cellStyle name="Unprot_CA PTAM New Wind Sept-09 - Estimated Preview" xfId="493" xr:uid="{00000000-0005-0000-0000-0000F6010000}"/>
    <cellStyle name="Unprotect" xfId="80" xr:uid="{00000000-0005-0000-0000-0000F7010000}"/>
    <cellStyle name="Warning Text 2" xfId="494" xr:uid="{00000000-0005-0000-0000-0000F8010000}"/>
    <cellStyle name="Warning Text 3" xfId="495" xr:uid="{00000000-0005-0000-0000-0000F9010000}"/>
    <cellStyle name="Warning Text 4" xfId="496" xr:uid="{00000000-0005-0000-0000-0000FA010000}"/>
    <cellStyle name="Warning Text 5" xfId="497" xr:uid="{00000000-0005-0000-0000-0000FB010000}"/>
    <cellStyle name="Warning Text 6" xfId="498" xr:uid="{00000000-0005-0000-0000-0000FC01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CASES\Wyoming98\EAST97%20B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4"/>
  <sheetViews>
    <sheetView view="pageBreakPreview" zoomScaleNormal="80" zoomScaleSheetLayoutView="100" workbookViewId="0">
      <pane xSplit="6" ySplit="13" topLeftCell="G14" activePane="bottomRight" state="frozen"/>
      <selection pane="topRight" activeCell="G1" sqref="G1"/>
      <selection pane="bottomLeft" activeCell="A13" sqref="A13"/>
      <selection pane="bottomRight"/>
    </sheetView>
  </sheetViews>
  <sheetFormatPr defaultColWidth="9.28515625" defaultRowHeight="12.75"/>
  <cols>
    <col min="1" max="1" width="5" style="109" customWidth="1"/>
    <col min="2" max="2" width="1.140625" style="109" customWidth="1"/>
    <col min="3" max="3" width="32.28515625" style="109" bestFit="1" customWidth="1"/>
    <col min="4" max="4" width="1.140625" style="112" customWidth="1"/>
    <col min="5" max="5" width="6.5703125" style="109" customWidth="1"/>
    <col min="6" max="6" width="1.140625" style="112" customWidth="1"/>
    <col min="7" max="7" width="12" style="113" customWidth="1"/>
    <col min="8" max="8" width="1.140625" style="112" customWidth="1"/>
    <col min="9" max="9" width="10.28515625" style="113" bestFit="1" customWidth="1"/>
    <col min="10" max="10" width="1.140625" style="112" customWidth="1"/>
    <col min="11" max="11" width="12.7109375" style="112" bestFit="1" customWidth="1"/>
    <col min="12" max="12" width="1.140625" style="109" customWidth="1"/>
    <col min="13" max="13" width="9.5703125" style="109" bestFit="1" customWidth="1"/>
    <col min="14" max="14" width="1.140625" style="109" customWidth="1"/>
    <col min="15" max="15" width="8.140625" style="109" bestFit="1" customWidth="1"/>
    <col min="16" max="16" width="1.140625" style="109" customWidth="1"/>
    <col min="17" max="17" width="9.5703125" style="109" bestFit="1" customWidth="1"/>
    <col min="18" max="18" width="1.140625" style="109" customWidth="1"/>
    <col min="19" max="19" width="10.42578125" style="109" bestFit="1" customWidth="1"/>
    <col min="20" max="20" width="1.140625" style="109" customWidth="1"/>
    <col min="21" max="21" width="8.140625" style="109" bestFit="1" customWidth="1"/>
    <col min="22" max="22" width="1.140625" style="109" customWidth="1"/>
    <col min="23" max="23" width="6.140625" style="109" bestFit="1" customWidth="1"/>
    <col min="24" max="24" width="1.140625" style="109" customWidth="1"/>
    <col min="25" max="25" width="6.140625" style="109" bestFit="1" customWidth="1"/>
    <col min="26" max="26" width="1.140625" style="109" customWidth="1"/>
    <col min="27" max="27" width="7.28515625" style="109" bestFit="1" customWidth="1"/>
    <col min="28" max="28" width="1.140625" style="109" customWidth="1"/>
    <col min="29" max="29" width="10.140625" style="109" bestFit="1" customWidth="1"/>
    <col min="30" max="30" width="1.140625" style="109" customWidth="1"/>
    <col min="31" max="31" width="8.140625" style="109" bestFit="1" customWidth="1"/>
    <col min="32" max="32" width="1.140625" style="109" customWidth="1"/>
    <col min="33" max="33" width="7" style="109" bestFit="1" customWidth="1"/>
    <col min="34" max="34" width="9.28515625" style="109" bestFit="1" customWidth="1"/>
    <col min="35" max="35" width="14.7109375" style="109" bestFit="1" customWidth="1"/>
    <col min="36" max="16384" width="9.28515625" style="109"/>
  </cols>
  <sheetData>
    <row r="1" spans="1:35" s="158" customFormat="1" ht="13.1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5" s="158" customFormat="1" ht="13.15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1:35" s="158" customFormat="1" ht="13.15" customHeigh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</row>
    <row r="4" spans="1:35" s="158" customFormat="1" ht="13.15" customHeight="1">
      <c r="A4" s="157" t="s">
        <v>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35" s="158" customFormat="1" ht="13.15" customHeight="1">
      <c r="A5" s="157" t="s">
        <v>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</row>
    <row r="6" spans="1:35" s="158" customFormat="1" ht="13.15" customHeight="1">
      <c r="A6" s="157" t="s">
        <v>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</row>
    <row r="7" spans="1:35" s="158" customFormat="1" ht="13.15" customHeight="1">
      <c r="A7" s="157" t="s">
        <v>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</row>
    <row r="8" spans="1:35" s="158" customFormat="1">
      <c r="D8" s="159"/>
      <c r="E8" s="160"/>
      <c r="F8" s="161"/>
      <c r="G8" s="162"/>
      <c r="H8" s="161"/>
      <c r="I8" s="161"/>
      <c r="J8" s="161"/>
      <c r="K8" s="163" t="s">
        <v>7</v>
      </c>
      <c r="M8" s="157" t="s">
        <v>8</v>
      </c>
      <c r="N8" s="157"/>
      <c r="O8" s="157"/>
      <c r="P8" s="157"/>
      <c r="Q8" s="157"/>
      <c r="S8" s="164" t="s">
        <v>9</v>
      </c>
      <c r="T8" s="164"/>
      <c r="U8" s="165" t="s">
        <v>10</v>
      </c>
      <c r="V8" s="165"/>
      <c r="W8" s="165"/>
      <c r="X8" s="165"/>
      <c r="Y8" s="165"/>
      <c r="Z8" s="165"/>
      <c r="AA8" s="165"/>
      <c r="AC8" s="166" t="s">
        <v>11</v>
      </c>
      <c r="AD8" s="167"/>
      <c r="AE8" s="166"/>
      <c r="AF8" s="166"/>
      <c r="AG8" s="166"/>
    </row>
    <row r="9" spans="1:35" s="158" customFormat="1">
      <c r="A9" s="168" t="s">
        <v>12</v>
      </c>
      <c r="D9" s="169"/>
      <c r="E9" s="168"/>
      <c r="F9" s="169"/>
      <c r="G9" s="170" t="s">
        <v>13</v>
      </c>
      <c r="H9" s="169"/>
      <c r="I9" s="170"/>
      <c r="J9" s="169"/>
      <c r="K9" s="163" t="s">
        <v>14</v>
      </c>
      <c r="L9" s="160"/>
      <c r="M9" s="165" t="s">
        <v>15</v>
      </c>
      <c r="N9" s="165"/>
      <c r="O9" s="165"/>
      <c r="P9" s="165"/>
      <c r="Q9" s="165"/>
      <c r="R9" s="160"/>
      <c r="S9" s="171" t="s">
        <v>16</v>
      </c>
      <c r="T9" s="164"/>
      <c r="U9" s="172" t="s">
        <v>17</v>
      </c>
      <c r="V9" s="164"/>
      <c r="W9" s="172" t="s">
        <v>18</v>
      </c>
      <c r="X9" s="172"/>
      <c r="Y9" s="172"/>
      <c r="Z9" s="172"/>
      <c r="AA9" s="172"/>
      <c r="AC9" s="166" t="s">
        <v>19</v>
      </c>
      <c r="AD9" s="167"/>
      <c r="AE9" s="165" t="s">
        <v>20</v>
      </c>
      <c r="AF9" s="165"/>
      <c r="AG9" s="165"/>
    </row>
    <row r="10" spans="1:35" s="158" customFormat="1">
      <c r="A10" s="173" t="s">
        <v>21</v>
      </c>
      <c r="C10" s="173" t="s">
        <v>22</v>
      </c>
      <c r="D10" s="169"/>
      <c r="E10" s="173" t="s">
        <v>23</v>
      </c>
      <c r="F10" s="169"/>
      <c r="G10" s="163" t="s">
        <v>24</v>
      </c>
      <c r="H10" s="169"/>
      <c r="I10" s="163" t="s">
        <v>25</v>
      </c>
      <c r="J10" s="169"/>
      <c r="K10" s="163" t="s">
        <v>26</v>
      </c>
      <c r="M10" s="174" t="s">
        <v>27</v>
      </c>
      <c r="N10" s="171"/>
      <c r="O10" s="174" t="s">
        <v>28</v>
      </c>
      <c r="P10" s="171"/>
      <c r="Q10" s="174" t="s">
        <v>29</v>
      </c>
      <c r="S10" s="174" t="s">
        <v>30</v>
      </c>
      <c r="T10" s="171"/>
      <c r="U10" s="175" t="s">
        <v>26</v>
      </c>
      <c r="V10" s="171"/>
      <c r="W10" s="176" t="s">
        <v>27</v>
      </c>
      <c r="X10" s="171"/>
      <c r="Y10" s="176" t="s">
        <v>28</v>
      </c>
      <c r="Z10" s="171"/>
      <c r="AA10" s="176" t="s">
        <v>29</v>
      </c>
      <c r="AB10" s="168"/>
      <c r="AC10" s="175" t="s">
        <v>26</v>
      </c>
      <c r="AD10" s="177"/>
      <c r="AE10" s="175" t="s">
        <v>26</v>
      </c>
      <c r="AF10" s="171"/>
      <c r="AG10" s="174" t="s">
        <v>31</v>
      </c>
    </row>
    <row r="11" spans="1:35" s="4" customFormat="1">
      <c r="C11" s="1">
        <v>-1</v>
      </c>
      <c r="D11" s="3"/>
      <c r="E11" s="1">
        <v>-2</v>
      </c>
      <c r="F11" s="3"/>
      <c r="G11" s="1">
        <v>-3</v>
      </c>
      <c r="H11" s="3"/>
      <c r="I11" s="1">
        <v>-4</v>
      </c>
      <c r="J11" s="3"/>
      <c r="K11" s="1">
        <v>-5</v>
      </c>
      <c r="M11" s="1">
        <f>MIN($C11:L11)-1</f>
        <v>-6</v>
      </c>
      <c r="N11" s="2"/>
      <c r="O11" s="1">
        <f>MIN($C11:N11)-1</f>
        <v>-7</v>
      </c>
      <c r="Q11" s="1">
        <f>MIN($C11:P11)-1</f>
        <v>-8</v>
      </c>
      <c r="S11" s="1">
        <f>MIN($C11:R11)-1</f>
        <v>-9</v>
      </c>
      <c r="T11" s="2"/>
      <c r="U11" s="1">
        <f>MIN($C11:T11)-1</f>
        <v>-10</v>
      </c>
      <c r="W11" s="1">
        <f>MIN($C11:V11)-1</f>
        <v>-11</v>
      </c>
      <c r="X11" s="2"/>
      <c r="Y11" s="1">
        <f>MIN($C11:X11)-1</f>
        <v>-12</v>
      </c>
      <c r="AA11" s="1">
        <f>MIN($C11:Z11)-1</f>
        <v>-13</v>
      </c>
      <c r="AC11" s="1">
        <f>MIN($C11:AB11)-1</f>
        <v>-14</v>
      </c>
      <c r="AE11" s="1">
        <f>MIN($C11:AD11)-1</f>
        <v>-15</v>
      </c>
      <c r="AG11" s="1">
        <f>MIN($C11:AF11)-1</f>
        <v>-16</v>
      </c>
    </row>
    <row r="12" spans="1:35" ht="7.5" customHeight="1">
      <c r="J12" s="114"/>
      <c r="K12" s="1"/>
      <c r="M12" s="113"/>
      <c r="O12" s="113"/>
      <c r="Q12" s="113"/>
      <c r="S12" s="113"/>
      <c r="U12" s="114"/>
      <c r="W12" s="114"/>
      <c r="Y12" s="114"/>
      <c r="AA12" s="115"/>
      <c r="AC12" s="114"/>
      <c r="AE12" s="115"/>
      <c r="AG12" s="114"/>
    </row>
    <row r="13" spans="1:35">
      <c r="C13" s="178" t="s">
        <v>32</v>
      </c>
      <c r="AH13" s="116" t="s">
        <v>33</v>
      </c>
      <c r="AI13" s="117" t="s">
        <v>34</v>
      </c>
    </row>
    <row r="14" spans="1:35">
      <c r="A14" s="110">
        <v>1</v>
      </c>
      <c r="C14" s="109" t="s">
        <v>35</v>
      </c>
      <c r="D14" s="114"/>
      <c r="E14" s="110">
        <v>1</v>
      </c>
      <c r="F14" s="114"/>
      <c r="G14" s="113">
        <v>55659.333333333336</v>
      </c>
      <c r="H14" s="114"/>
      <c r="I14" s="113">
        <v>523106.739</v>
      </c>
      <c r="J14" s="114"/>
      <c r="K14" s="114">
        <v>60147.192347934462</v>
      </c>
      <c r="M14" s="113">
        <f>I14</f>
        <v>523106.739</v>
      </c>
      <c r="O14" s="113"/>
      <c r="Q14" s="113"/>
      <c r="S14" s="113">
        <f>ROUND(M14*$M$47+O14*$O$47+Q14*$Q$47,3)</f>
        <v>570505.44099999999</v>
      </c>
      <c r="U14" s="114">
        <f>ROUND(S14*$K$48/100,3)</f>
        <v>4884.6400000000003</v>
      </c>
      <c r="W14" s="118">
        <f>$W$48</f>
        <v>0.93400000000000005</v>
      </c>
      <c r="Y14" s="118">
        <f>$Y$48</f>
        <v>0.91700000000000004</v>
      </c>
      <c r="AA14" s="118">
        <f>$AA$48</f>
        <v>0.88600000000000001</v>
      </c>
      <c r="AC14" s="114">
        <f>ROUND((M14*$AC$48+O14*$AE$48+Q14*$AG$48)/100,3)</f>
        <v>3834.3719999999998</v>
      </c>
      <c r="AE14" s="114">
        <f>U14-AC14</f>
        <v>1050.2680000000005</v>
      </c>
      <c r="AG14" s="115">
        <f>AE14/(K14+AC14)</f>
        <v>1.6415166004516528E-2</v>
      </c>
      <c r="AH14" s="119">
        <f>ROUND(I14/G14*1000/12,0)</f>
        <v>783</v>
      </c>
      <c r="AI14" s="120">
        <f>ROUND(AE14/G14*1000/12,2)</f>
        <v>1.57</v>
      </c>
    </row>
    <row r="15" spans="1:35">
      <c r="A15" s="110">
        <f>MAX($A$14:A14)+1</f>
        <v>2</v>
      </c>
      <c r="C15" s="109" t="s">
        <v>36</v>
      </c>
      <c r="D15" s="114"/>
      <c r="E15" s="110">
        <v>36</v>
      </c>
      <c r="F15" s="114"/>
      <c r="G15" s="113">
        <v>11710.833333333334</v>
      </c>
      <c r="H15" s="114"/>
      <c r="I15" s="113">
        <v>196337.44200000001</v>
      </c>
      <c r="J15" s="114"/>
      <c r="K15" s="114">
        <v>19448.060300837657</v>
      </c>
      <c r="M15" s="113">
        <f>I15</f>
        <v>196337.44200000001</v>
      </c>
      <c r="O15" s="113"/>
      <c r="Q15" s="113"/>
      <c r="S15" s="113">
        <f>ROUND(M15*$M$47+O15*$O$47+Q15*$Q$47,3)</f>
        <v>214127.57800000001</v>
      </c>
      <c r="U15" s="114">
        <f>ROUND(S15*$K$48/100,3)</f>
        <v>1833.35</v>
      </c>
      <c r="W15" s="118">
        <f>$W$48</f>
        <v>0.93400000000000005</v>
      </c>
      <c r="Y15" s="118">
        <f>$Y$48</f>
        <v>0.91700000000000004</v>
      </c>
      <c r="AA15" s="118">
        <f>$AA$48</f>
        <v>0.88600000000000001</v>
      </c>
      <c r="AC15" s="114">
        <f>ROUND((M15*$AC$48+O15*$AE$48+Q15*$AG$48)/100,3)</f>
        <v>1439.153</v>
      </c>
      <c r="AE15" s="114">
        <f>U15-AC15</f>
        <v>394.19699999999989</v>
      </c>
      <c r="AG15" s="115">
        <f>AE15/(K15+AC15)</f>
        <v>1.8872646835286118E-2</v>
      </c>
      <c r="AH15" s="121">
        <f>ROUND(I15/G15*1000/12,0)</f>
        <v>1397</v>
      </c>
      <c r="AI15" s="122">
        <f>ROUND(AE15/G15*1000/12,2)</f>
        <v>2.81</v>
      </c>
    </row>
    <row r="16" spans="1:35">
      <c r="A16" s="110">
        <f>MAX($A$14:A15)+1</f>
        <v>3</v>
      </c>
      <c r="C16" s="109" t="s">
        <v>37</v>
      </c>
      <c r="D16" s="114"/>
      <c r="E16" s="123"/>
      <c r="F16" s="114"/>
      <c r="G16" s="124"/>
      <c r="H16" s="114"/>
      <c r="I16" s="124"/>
      <c r="J16" s="114"/>
      <c r="K16" s="125">
        <v>3.8219284687482</v>
      </c>
      <c r="M16" s="124"/>
      <c r="O16" s="124"/>
      <c r="Q16" s="124"/>
      <c r="S16" s="124"/>
      <c r="U16" s="125"/>
      <c r="W16" s="126"/>
      <c r="Y16" s="126"/>
      <c r="AA16" s="126"/>
      <c r="AC16" s="125"/>
      <c r="AE16" s="125"/>
      <c r="AG16" s="127"/>
      <c r="AH16" s="128"/>
      <c r="AI16" s="128"/>
    </row>
    <row r="17" spans="1:35">
      <c r="A17" s="110">
        <f>MAX($A$14:A16)+1</f>
        <v>4</v>
      </c>
      <c r="C17" s="158" t="s">
        <v>38</v>
      </c>
      <c r="D17" s="114"/>
      <c r="F17" s="114"/>
      <c r="G17" s="113">
        <v>67370.166666666672</v>
      </c>
      <c r="H17" s="114"/>
      <c r="I17" s="113">
        <v>719444.18099999998</v>
      </c>
      <c r="J17" s="114"/>
      <c r="K17" s="114">
        <v>79599.07457724087</v>
      </c>
      <c r="M17" s="113">
        <f>SUM(M14:M16)</f>
        <v>719444.18099999998</v>
      </c>
      <c r="O17" s="113">
        <f>SUM(O14:O16)</f>
        <v>0</v>
      </c>
      <c r="Q17" s="113">
        <f>SUM(Q14:Q16)</f>
        <v>0</v>
      </c>
      <c r="S17" s="113">
        <f>SUM(S14:S16)</f>
        <v>784633.01899999997</v>
      </c>
      <c r="U17" s="114">
        <f>SUM(U14:U16)</f>
        <v>6717.99</v>
      </c>
      <c r="W17" s="118"/>
      <c r="Y17" s="118"/>
      <c r="AA17" s="118"/>
      <c r="AC17" s="114">
        <f>SUM(AC14:AC16)</f>
        <v>5273.5249999999996</v>
      </c>
      <c r="AE17" s="114">
        <f>SUM(AE14:AE16)</f>
        <v>1444.4650000000004</v>
      </c>
      <c r="AG17" s="115">
        <f>AE17/(K17+AC17)</f>
        <v>1.7019214766544548E-2</v>
      </c>
      <c r="AH17" s="129">
        <f>ROUND(I17/G17*1000/12,0)</f>
        <v>890</v>
      </c>
      <c r="AI17" s="130">
        <f>ROUND(AE17/G17*1000/12,2)</f>
        <v>1.79</v>
      </c>
    </row>
    <row r="18" spans="1:35" ht="8.1" customHeight="1">
      <c r="D18" s="114"/>
      <c r="F18" s="114"/>
      <c r="H18" s="114"/>
      <c r="J18" s="114"/>
      <c r="K18" s="114"/>
      <c r="M18" s="113"/>
      <c r="O18" s="113"/>
      <c r="Q18" s="113"/>
      <c r="S18" s="113"/>
      <c r="U18" s="114"/>
      <c r="W18" s="118"/>
      <c r="Y18" s="118"/>
      <c r="AA18" s="118"/>
      <c r="AC18" s="114"/>
      <c r="AE18" s="114"/>
      <c r="AG18" s="115"/>
      <c r="AH18" s="131"/>
    </row>
    <row r="19" spans="1:35">
      <c r="A19" s="110">
        <f>MAX($A$14:A18)+1</f>
        <v>5</v>
      </c>
      <c r="C19" s="178" t="s">
        <v>39</v>
      </c>
      <c r="D19" s="114"/>
      <c r="F19" s="114"/>
      <c r="H19" s="114"/>
      <c r="J19" s="114"/>
      <c r="K19" s="114"/>
      <c r="M19" s="113"/>
      <c r="O19" s="113"/>
      <c r="Q19" s="113"/>
      <c r="S19" s="113"/>
      <c r="U19" s="114"/>
      <c r="W19" s="118"/>
      <c r="Y19" s="118"/>
      <c r="AA19" s="118"/>
      <c r="AC19" s="114"/>
      <c r="AE19" s="114"/>
      <c r="AG19" s="115"/>
      <c r="AH19" s="131"/>
    </row>
    <row r="20" spans="1:35">
      <c r="A20" s="110">
        <f>MAX($A$14:A19)+1</f>
        <v>6</v>
      </c>
      <c r="C20" s="109" t="s">
        <v>40</v>
      </c>
      <c r="D20" s="114"/>
      <c r="E20" s="123">
        <v>6</v>
      </c>
      <c r="F20" s="114"/>
      <c r="G20" s="113">
        <v>1158.25</v>
      </c>
      <c r="H20" s="114"/>
      <c r="I20" s="113">
        <v>345854.45299999998</v>
      </c>
      <c r="J20" s="114"/>
      <c r="K20" s="114">
        <v>27087.318525247138</v>
      </c>
      <c r="M20" s="113">
        <f>ROUND(I20*'Voltage Data'!D3,3)</f>
        <v>303007.13299999997</v>
      </c>
      <c r="O20" s="113">
        <f>I20-M20</f>
        <v>42847.320000000007</v>
      </c>
      <c r="Q20" s="113"/>
      <c r="S20" s="113">
        <f>ROUND(M20*$M$47+O20*$O$47+Q20*$Q$47,3)</f>
        <v>376344.37699999998</v>
      </c>
      <c r="U20" s="114">
        <f>ROUND(S20*$K$48/100,3)</f>
        <v>3222.2429999999999</v>
      </c>
      <c r="W20" s="118">
        <f>$W$48</f>
        <v>0.93400000000000005</v>
      </c>
      <c r="Y20" s="118">
        <f>$Y$48</f>
        <v>0.91700000000000004</v>
      </c>
      <c r="AA20" s="118">
        <f>$AA$48</f>
        <v>0.88600000000000001</v>
      </c>
      <c r="AC20" s="114">
        <f>ROUND((M20*$AC$48+O20*$AE$48+Q20*$AG$48)/100,3)</f>
        <v>2529.5430000000001</v>
      </c>
      <c r="AE20" s="114">
        <f t="shared" ref="AE20:AE21" si="0">U20-AC20</f>
        <v>692.69999999999982</v>
      </c>
      <c r="AG20" s="115">
        <f t="shared" ref="AG20:AG31" si="1">AE20/(K20+AC20)</f>
        <v>2.3388703742613037E-2</v>
      </c>
      <c r="AH20" s="131"/>
    </row>
    <row r="21" spans="1:35">
      <c r="A21" s="110">
        <f>MAX($A$14:A20)+1</f>
        <v>7</v>
      </c>
      <c r="C21" s="109" t="s">
        <v>41</v>
      </c>
      <c r="D21" s="114"/>
      <c r="E21" s="123" t="s">
        <v>42</v>
      </c>
      <c r="F21" s="114"/>
      <c r="G21" s="113">
        <v>206.91666666666666</v>
      </c>
      <c r="H21" s="114"/>
      <c r="I21" s="113">
        <v>26805.025000000001</v>
      </c>
      <c r="J21" s="114"/>
      <c r="K21" s="114">
        <v>2325.7335300189002</v>
      </c>
      <c r="M21" s="113">
        <f>ROUND(I21*'Voltage Data'!D5,3)</f>
        <v>26656.261999999999</v>
      </c>
      <c r="O21" s="113">
        <f>I21-M21</f>
        <v>148.76300000000265</v>
      </c>
      <c r="Q21" s="113"/>
      <c r="S21" s="113">
        <f>ROUND(M21*$M$47+O21*$O$47+Q21*$Q$47,3)</f>
        <v>29230.883999999998</v>
      </c>
      <c r="U21" s="114">
        <f>ROUND(S21*$K$48/100,3)</f>
        <v>250.273</v>
      </c>
      <c r="W21" s="118">
        <f>$W$48</f>
        <v>0.93400000000000005</v>
      </c>
      <c r="Y21" s="118">
        <f>$Y$48</f>
        <v>0.91700000000000004</v>
      </c>
      <c r="AA21" s="118">
        <f>$AA$48</f>
        <v>0.88600000000000001</v>
      </c>
      <c r="AC21" s="114">
        <f>ROUND((M21*$AC$48+O21*$AE$48+Q21*$AG$48)/100,3)</f>
        <v>196.46100000000001</v>
      </c>
      <c r="AE21" s="114">
        <f t="shared" si="0"/>
        <v>53.811999999999983</v>
      </c>
      <c r="AG21" s="115">
        <f t="shared" si="1"/>
        <v>2.1335388432388976E-2</v>
      </c>
      <c r="AH21" s="131"/>
    </row>
    <row r="22" spans="1:35" s="221" customFormat="1">
      <c r="A22" s="220">
        <f>MAX($A$14:A21)+1</f>
        <v>8</v>
      </c>
      <c r="C22" s="221" t="s">
        <v>43</v>
      </c>
      <c r="D22" s="222"/>
      <c r="E22" s="223"/>
      <c r="F22" s="222"/>
      <c r="G22" s="224">
        <v>1365.1666666666667</v>
      </c>
      <c r="H22" s="222"/>
      <c r="I22" s="224">
        <v>372659.478</v>
      </c>
      <c r="J22" s="222"/>
      <c r="K22" s="222">
        <v>29413.052055266038</v>
      </c>
      <c r="M22" s="224">
        <f>SUM(M20:M21)</f>
        <v>329663.39499999996</v>
      </c>
      <c r="O22" s="224">
        <f>SUM(O20:O21)</f>
        <v>42996.083000000013</v>
      </c>
      <c r="Q22" s="224">
        <f>SUM(Q20:Q21)</f>
        <v>0</v>
      </c>
      <c r="S22" s="224">
        <f>SUM(S20:S21)</f>
        <v>405575.261</v>
      </c>
      <c r="U22" s="222">
        <f>SUM(U20:U21)</f>
        <v>3472.5160000000001</v>
      </c>
      <c r="W22" s="225"/>
      <c r="Y22" s="225"/>
      <c r="AA22" s="225"/>
      <c r="AC22" s="222">
        <f>SUM(AC20:AC21)</f>
        <v>2726.0039999999999</v>
      </c>
      <c r="AE22" s="222">
        <f>SUM(AE20:AE21)</f>
        <v>746.51199999999983</v>
      </c>
      <c r="AG22" s="226">
        <f t="shared" si="1"/>
        <v>2.3227564578010763E-2</v>
      </c>
      <c r="AH22" s="227"/>
    </row>
    <row r="23" spans="1:35" ht="17.850000000000001" customHeight="1">
      <c r="A23" s="110">
        <f>MAX($A$14:A22)+1</f>
        <v>9</v>
      </c>
      <c r="C23" s="109" t="s">
        <v>44</v>
      </c>
      <c r="D23" s="114"/>
      <c r="E23" s="110">
        <v>9</v>
      </c>
      <c r="F23" s="114"/>
      <c r="G23" s="113">
        <v>17.416666666666668</v>
      </c>
      <c r="H23" s="114"/>
      <c r="I23" s="113">
        <v>222698.98699999999</v>
      </c>
      <c r="J23" s="114"/>
      <c r="K23" s="114">
        <v>13225.01006618371</v>
      </c>
      <c r="M23" s="113">
        <v>0</v>
      </c>
      <c r="O23" s="113">
        <v>0</v>
      </c>
      <c r="Q23" s="113">
        <v>222698.98699999999</v>
      </c>
      <c r="S23" s="113">
        <f>ROUND(M23*$M$47+O23*$O$47+Q23*$Q$47,3)</f>
        <v>230500.133</v>
      </c>
      <c r="U23" s="114">
        <f>ROUND(S23*$K$48/100,3)</f>
        <v>1973.5309999999999</v>
      </c>
      <c r="W23" s="118">
        <f>$W$48</f>
        <v>0.93400000000000005</v>
      </c>
      <c r="Y23" s="118">
        <f>$Y$48</f>
        <v>0.91700000000000004</v>
      </c>
      <c r="AA23" s="118">
        <f>$AA$48</f>
        <v>0.88600000000000001</v>
      </c>
      <c r="AC23" s="114">
        <f>ROUND((M23*$AC$48+O23*$AE$48+Q23*$AG$48)/100,3)</f>
        <v>1549.9849999999999</v>
      </c>
      <c r="AE23" s="114">
        <f t="shared" ref="AE23:AE26" si="2">U23-AC23</f>
        <v>423.54600000000005</v>
      </c>
      <c r="AG23" s="115">
        <f t="shared" si="1"/>
        <v>2.8666405511660137E-2</v>
      </c>
      <c r="AH23" s="131"/>
    </row>
    <row r="24" spans="1:35">
      <c r="A24" s="110">
        <f>MAX($A$14:A23)+1</f>
        <v>10</v>
      </c>
      <c r="C24" s="109" t="s">
        <v>45</v>
      </c>
      <c r="D24" s="114"/>
      <c r="E24" s="123" t="s">
        <v>46</v>
      </c>
      <c r="F24" s="114"/>
      <c r="G24" s="113">
        <v>5971</v>
      </c>
      <c r="H24" s="114"/>
      <c r="I24" s="113">
        <v>615885.79500000004</v>
      </c>
      <c r="J24" s="114"/>
      <c r="K24" s="114">
        <v>55363.399277152581</v>
      </c>
      <c r="M24" s="113">
        <f t="shared" ref="M24" si="3">I24</f>
        <v>615885.79500000004</v>
      </c>
      <c r="O24" s="113"/>
      <c r="Q24" s="113"/>
      <c r="S24" s="113">
        <f>ROUND(M24*$M$47+O24*$O$47+Q24*$Q$47,3)</f>
        <v>671691.20700000005</v>
      </c>
      <c r="U24" s="114">
        <f>ROUND(S24*$K$48/100,3)</f>
        <v>5750.9880000000003</v>
      </c>
      <c r="W24" s="118">
        <f>$W$48</f>
        <v>0.93400000000000005</v>
      </c>
      <c r="Y24" s="118">
        <f>$Y$48</f>
        <v>0.91700000000000004</v>
      </c>
      <c r="AA24" s="118">
        <f>$AA$48</f>
        <v>0.88600000000000001</v>
      </c>
      <c r="AC24" s="114">
        <f>ROUND((M24*$AC$48+O24*$AE$48+Q24*$AG$48)/100,3)</f>
        <v>4514.4430000000002</v>
      </c>
      <c r="AE24" s="114">
        <f t="shared" si="2"/>
        <v>1236.5450000000001</v>
      </c>
      <c r="AG24" s="115">
        <f t="shared" si="1"/>
        <v>2.0651128246680743E-2</v>
      </c>
      <c r="AH24" s="131"/>
    </row>
    <row r="25" spans="1:35" ht="16.5" customHeight="1">
      <c r="A25" s="110">
        <f>MAX($A$14:A24)+1</f>
        <v>11</v>
      </c>
      <c r="C25" s="109" t="s">
        <v>47</v>
      </c>
      <c r="D25" s="114"/>
      <c r="E25" s="123">
        <v>23</v>
      </c>
      <c r="F25" s="114"/>
      <c r="G25" s="113">
        <v>7733.5833333333339</v>
      </c>
      <c r="H25" s="114"/>
      <c r="I25" s="113">
        <v>183015.61900000001</v>
      </c>
      <c r="J25" s="114"/>
      <c r="K25" s="114">
        <v>17375.11238295279</v>
      </c>
      <c r="M25" s="113">
        <v>182662.31200000001</v>
      </c>
      <c r="O25" s="113">
        <v>353.3070000000007</v>
      </c>
      <c r="Q25" s="113">
        <v>0</v>
      </c>
      <c r="S25" s="113">
        <f>ROUND(M25*$M$47+O25*$O$47+Q25*$Q$47,3)</f>
        <v>199591.67199999999</v>
      </c>
      <c r="U25" s="114">
        <f>ROUND(S25*$K$48/100,3)</f>
        <v>1708.894</v>
      </c>
      <c r="W25" s="118">
        <f>$W$48</f>
        <v>0.93400000000000005</v>
      </c>
      <c r="Y25" s="118">
        <f>$Y$48</f>
        <v>0.91700000000000004</v>
      </c>
      <c r="AA25" s="118">
        <f>$AA$48</f>
        <v>0.88600000000000001</v>
      </c>
      <c r="AC25" s="114">
        <f>ROUND((M25*$AC$48+O25*$AE$48+Q25*$AG$48)/100,3)</f>
        <v>1341.4590000000001</v>
      </c>
      <c r="AE25" s="114">
        <f t="shared" si="2"/>
        <v>367.43499999999995</v>
      </c>
      <c r="AG25" s="115">
        <f t="shared" si="1"/>
        <v>1.9631533601002525E-2</v>
      </c>
      <c r="AH25" s="131"/>
    </row>
    <row r="26" spans="1:35">
      <c r="A26" s="110">
        <f>MAX($A$14:A25)+1</f>
        <v>12</v>
      </c>
      <c r="C26" s="109" t="s">
        <v>48</v>
      </c>
      <c r="D26" s="114"/>
      <c r="E26" s="123" t="s">
        <v>49</v>
      </c>
      <c r="F26" s="114"/>
      <c r="G26" s="113">
        <v>2576.0833333333335</v>
      </c>
      <c r="H26" s="114"/>
      <c r="I26" s="113">
        <v>39710.487999999998</v>
      </c>
      <c r="J26" s="114"/>
      <c r="K26" s="114">
        <v>3922.49540709751</v>
      </c>
      <c r="M26" s="113">
        <f>ROUND(I26*'Voltage Data'!D9,3)</f>
        <v>38626.451999999997</v>
      </c>
      <c r="O26" s="113">
        <f>I26-M26</f>
        <v>1084.0360000000001</v>
      </c>
      <c r="Q26" s="113"/>
      <c r="S26" s="113">
        <f>ROUND(M26*$M$47+O26*$O$47+Q26*$Q$47,3)</f>
        <v>43287.201999999997</v>
      </c>
      <c r="U26" s="114">
        <f>ROUND(S26*$K$48/100,3)</f>
        <v>370.62299999999999</v>
      </c>
      <c r="W26" s="118">
        <f>$W$48</f>
        <v>0.93400000000000005</v>
      </c>
      <c r="Y26" s="118">
        <f>$Y$48</f>
        <v>0.91700000000000004</v>
      </c>
      <c r="AA26" s="118">
        <f>$AA$48</f>
        <v>0.88600000000000001</v>
      </c>
      <c r="AC26" s="114">
        <f>ROUND((M26*$AC$48+O26*$AE$48+Q26*$AG$48)/100,3)</f>
        <v>290.93700000000001</v>
      </c>
      <c r="AE26" s="114">
        <f t="shared" si="2"/>
        <v>79.685999999999979</v>
      </c>
      <c r="AG26" s="115">
        <f t="shared" si="1"/>
        <v>1.8912371743704547E-2</v>
      </c>
      <c r="AH26" s="131"/>
    </row>
    <row r="27" spans="1:35" s="221" customFormat="1">
      <c r="A27" s="220">
        <f>MAX($A$14:A26)+1</f>
        <v>13</v>
      </c>
      <c r="C27" s="221" t="s">
        <v>50</v>
      </c>
      <c r="D27" s="222"/>
      <c r="E27" s="223"/>
      <c r="F27" s="222"/>
      <c r="G27" s="224">
        <v>10309.666666666668</v>
      </c>
      <c r="H27" s="222"/>
      <c r="I27" s="224">
        <v>222726.10700000002</v>
      </c>
      <c r="J27" s="222"/>
      <c r="K27" s="224">
        <v>21297.607790050301</v>
      </c>
      <c r="M27" s="224">
        <f>SUM(M25:M26)</f>
        <v>221288.764</v>
      </c>
      <c r="O27" s="224">
        <f>SUM(O25:O26)</f>
        <v>1437.3430000000008</v>
      </c>
      <c r="Q27" s="224">
        <f>SUM(Q25:Q26)</f>
        <v>0</v>
      </c>
      <c r="S27" s="224">
        <f>SUM(S25:S26)</f>
        <v>242878.87399999998</v>
      </c>
      <c r="U27" s="224">
        <f>SUM(U25:U26)</f>
        <v>2079.5169999999998</v>
      </c>
      <c r="W27" s="225"/>
      <c r="Y27" s="225"/>
      <c r="AA27" s="225"/>
      <c r="AC27" s="224">
        <f>SUM(AC25:AC26)</f>
        <v>1632.3960000000002</v>
      </c>
      <c r="AE27" s="224">
        <f>SUM(AE25:AE26)</f>
        <v>447.12099999999992</v>
      </c>
      <c r="AG27" s="226">
        <f t="shared" si="1"/>
        <v>1.9499386223128884E-2</v>
      </c>
      <c r="AH27" s="227"/>
    </row>
    <row r="28" spans="1:35" ht="17.850000000000001" customHeight="1">
      <c r="A28" s="110">
        <f>MAX($A$14:A27)+1</f>
        <v>14</v>
      </c>
      <c r="C28" s="109" t="s">
        <v>51</v>
      </c>
      <c r="D28" s="114"/>
      <c r="E28" s="110">
        <v>35</v>
      </c>
      <c r="F28" s="114"/>
      <c r="G28" s="113">
        <v>2</v>
      </c>
      <c r="H28" s="114"/>
      <c r="I28" s="113">
        <v>277.92500000000001</v>
      </c>
      <c r="J28" s="114"/>
      <c r="K28" s="114">
        <v>22.810853126520001</v>
      </c>
      <c r="M28" s="113">
        <f t="shared" ref="M28" si="4">I28</f>
        <v>277.92500000000001</v>
      </c>
      <c r="O28" s="113"/>
      <c r="Q28" s="113"/>
      <c r="S28" s="113">
        <f>ROUND(M28*$M$47+O28*$O$47+Q28*$Q$47,3)</f>
        <v>303.108</v>
      </c>
      <c r="U28" s="114">
        <f>ROUND(S28*$K$48/100,3)</f>
        <v>2.5950000000000002</v>
      </c>
      <c r="W28" s="118">
        <f>$W$48</f>
        <v>0.93400000000000005</v>
      </c>
      <c r="Y28" s="118">
        <f>$Y$48</f>
        <v>0.91700000000000004</v>
      </c>
      <c r="AA28" s="118">
        <f>$AA$48</f>
        <v>0.88600000000000001</v>
      </c>
      <c r="AC28" s="114">
        <f>ROUND((M28*$AC$48+O28*$AE$48+Q28*$AG$48)/100,3)</f>
        <v>2.0369999999999999</v>
      </c>
      <c r="AE28" s="114">
        <f t="shared" ref="AE28:AE31" si="5">U28-AC28</f>
        <v>0.55800000000000027</v>
      </c>
      <c r="AG28" s="115">
        <f t="shared" si="1"/>
        <v>2.2456668475895385E-2</v>
      </c>
      <c r="AH28" s="131"/>
    </row>
    <row r="29" spans="1:35" ht="17.850000000000001" customHeight="1">
      <c r="A29" s="110">
        <f>MAX($A$14:A28)+1</f>
        <v>15</v>
      </c>
      <c r="C29" s="109" t="s">
        <v>52</v>
      </c>
      <c r="D29" s="114"/>
      <c r="E29" s="110" t="s">
        <v>53</v>
      </c>
      <c r="F29" s="114"/>
      <c r="G29" s="113">
        <v>0</v>
      </c>
      <c r="H29" s="114"/>
      <c r="I29" s="113">
        <v>0</v>
      </c>
      <c r="J29" s="114"/>
      <c r="K29" s="114">
        <v>0</v>
      </c>
      <c r="M29" s="113">
        <f t="shared" ref="M29" si="6">I29</f>
        <v>0</v>
      </c>
      <c r="O29" s="113"/>
      <c r="Q29" s="113"/>
      <c r="S29" s="113">
        <f>ROUND(M29*$M$47+O29*$O$47+Q29*$Q$47,3)</f>
        <v>0</v>
      </c>
      <c r="U29" s="114">
        <f>ROUND(S29*$K$48/100,3)</f>
        <v>0</v>
      </c>
      <c r="W29" s="118">
        <f>$W$48</f>
        <v>0.93400000000000005</v>
      </c>
      <c r="Y29" s="118">
        <f>$Y$48</f>
        <v>0.91700000000000004</v>
      </c>
      <c r="AA29" s="118">
        <f>$AA$48</f>
        <v>0.88600000000000001</v>
      </c>
      <c r="AC29" s="114">
        <f>ROUND((M29*$AC$48+O29*$AE$48+Q29*$AG$48)/100,3)</f>
        <v>0</v>
      </c>
      <c r="AE29" s="114">
        <f t="shared" ref="AE29" si="7">U29-AC29</f>
        <v>0</v>
      </c>
      <c r="AG29" s="115"/>
      <c r="AH29" s="131"/>
    </row>
    <row r="30" spans="1:35" s="221" customFormat="1" ht="17.850000000000001" customHeight="1">
      <c r="A30" s="220">
        <f>MAX($A$14:A29)+1</f>
        <v>16</v>
      </c>
      <c r="C30" s="221" t="s">
        <v>54</v>
      </c>
      <c r="D30" s="222"/>
      <c r="E30" s="223"/>
      <c r="F30" s="222"/>
      <c r="G30" s="224">
        <v>2</v>
      </c>
      <c r="H30" s="222"/>
      <c r="I30" s="224">
        <v>277.92500000000001</v>
      </c>
      <c r="J30" s="222"/>
      <c r="K30" s="224">
        <v>22.810853126520001</v>
      </c>
      <c r="M30" s="224">
        <f>SUM(M28:M29)</f>
        <v>277.92500000000001</v>
      </c>
      <c r="O30" s="224">
        <f>SUM(O28:O29)</f>
        <v>0</v>
      </c>
      <c r="Q30" s="224">
        <f>SUM(Q28:Q29)</f>
        <v>0</v>
      </c>
      <c r="S30" s="224">
        <f>SUM(S28:S29)</f>
        <v>303.108</v>
      </c>
      <c r="U30" s="224">
        <f>SUM(U28:U29)</f>
        <v>2.5950000000000002</v>
      </c>
      <c r="W30" s="225">
        <f>$W$48</f>
        <v>0.93400000000000005</v>
      </c>
      <c r="Y30" s="225">
        <f>$Y$48</f>
        <v>0.91700000000000004</v>
      </c>
      <c r="AA30" s="225">
        <f>$AA$48</f>
        <v>0.88600000000000001</v>
      </c>
      <c r="AC30" s="224">
        <f>SUM(AC28:AC29)</f>
        <v>2.0369999999999999</v>
      </c>
      <c r="AE30" s="224">
        <f>SUM(AE28:AE29)</f>
        <v>0.55800000000000027</v>
      </c>
      <c r="AG30" s="226">
        <f t="shared" ref="AG30" si="8">AE30/(K30+AC30)</f>
        <v>2.2456668475895385E-2</v>
      </c>
      <c r="AH30" s="227"/>
    </row>
    <row r="31" spans="1:35">
      <c r="A31" s="110">
        <f>MAX($A$14:A30)+1</f>
        <v>17</v>
      </c>
      <c r="C31" s="109" t="s">
        <v>55</v>
      </c>
      <c r="D31" s="114"/>
      <c r="E31" s="110">
        <v>400</v>
      </c>
      <c r="F31" s="114"/>
      <c r="G31" s="113">
        <v>1</v>
      </c>
      <c r="H31" s="114"/>
      <c r="I31" s="113">
        <v>1369715.7819999999</v>
      </c>
      <c r="J31" s="114"/>
      <c r="K31" s="114">
        <v>79465.413</v>
      </c>
      <c r="M31" s="113"/>
      <c r="O31" s="113"/>
      <c r="Q31" s="113">
        <f>I31</f>
        <v>1369715.7819999999</v>
      </c>
      <c r="S31" s="113">
        <f>ROUND(M31*$M$47+O31*$O$47+Q31*$Q$47,3)</f>
        <v>1417696.926</v>
      </c>
      <c r="U31" s="114">
        <f>ROUND(S31*($K$50-$K$49)/100,3)</f>
        <v>12217.466</v>
      </c>
      <c r="W31" s="118"/>
      <c r="Y31" s="118"/>
      <c r="AA31" s="118">
        <f>AA49</f>
        <v>0.89200000000000002</v>
      </c>
      <c r="AC31" s="114">
        <f>ROUND(Q31*$AG$49/100,3)</f>
        <v>9588.01</v>
      </c>
      <c r="AE31" s="114">
        <f t="shared" si="5"/>
        <v>2629.4560000000001</v>
      </c>
      <c r="AG31" s="115">
        <f t="shared" si="1"/>
        <v>2.9526725772236743E-2</v>
      </c>
      <c r="AH31" s="131"/>
    </row>
    <row r="32" spans="1:35">
      <c r="A32" s="110">
        <f>MAX($A$14:A31)+1</f>
        <v>18</v>
      </c>
      <c r="C32" s="109" t="s">
        <v>37</v>
      </c>
      <c r="D32" s="114"/>
      <c r="E32" s="123"/>
      <c r="F32" s="114"/>
      <c r="G32" s="124"/>
      <c r="H32" s="114"/>
      <c r="I32" s="124"/>
      <c r="J32" s="114"/>
      <c r="K32" s="125">
        <v>601.6875616318747</v>
      </c>
      <c r="M32" s="124"/>
      <c r="O32" s="124"/>
      <c r="Q32" s="124"/>
      <c r="S32" s="124"/>
      <c r="U32" s="125"/>
      <c r="W32" s="126"/>
      <c r="Y32" s="126"/>
      <c r="AA32" s="126"/>
      <c r="AC32" s="125"/>
      <c r="AE32" s="125"/>
      <c r="AG32" s="127"/>
      <c r="AH32" s="131"/>
    </row>
    <row r="33" spans="1:35">
      <c r="A33" s="110">
        <f>MAX($A$14:A32)+1</f>
        <v>19</v>
      </c>
      <c r="C33" s="158" t="s">
        <v>56</v>
      </c>
      <c r="D33" s="114"/>
      <c r="F33" s="114"/>
      <c r="G33" s="113">
        <v>17666.25</v>
      </c>
      <c r="H33" s="113"/>
      <c r="I33" s="113">
        <v>2803964.074</v>
      </c>
      <c r="J33" s="113"/>
      <c r="K33" s="114">
        <v>199388.98060341101</v>
      </c>
      <c r="M33" s="113">
        <f>SUM(M20:M21,M23:M23,M24:M26,M28:M29,M31:M32)</f>
        <v>1167115.879</v>
      </c>
      <c r="O33" s="113">
        <f>SUM(O20:O21,O23:O23,O24:O26,O28:O29,O31:O32)</f>
        <v>44433.426000000014</v>
      </c>
      <c r="Q33" s="113">
        <f>SUM(Q20:Q21,Q23:Q23,Q24:Q26,Q28:Q29,Q31:Q32)</f>
        <v>1592414.7689999999</v>
      </c>
      <c r="S33" s="113">
        <f>SUM(S20:S21,S23:S23,S24:S26,S28:S29,S31:S32)</f>
        <v>2968645.5090000001</v>
      </c>
      <c r="U33" s="114">
        <f>SUM(U20:U21,U23:U23,U24:U26,U28:U29,U31:U32)</f>
        <v>25496.612999999998</v>
      </c>
      <c r="W33" s="118"/>
      <c r="Y33" s="118"/>
      <c r="AA33" s="118"/>
      <c r="AC33" s="114">
        <f>SUM(AC20:AC21,AC23:AC23,AC24:AC26,AC28:AC29,AC31:AC32)</f>
        <v>20012.875</v>
      </c>
      <c r="AE33" s="114">
        <f>SUM(AE20:AE21,AE23:AE23,AE24:AE26,AE28:AE29,AE31:AE32)</f>
        <v>5483.7380000000003</v>
      </c>
      <c r="AG33" s="115">
        <f>AE33/(K33+AC33)</f>
        <v>2.4994036558707872E-2</v>
      </c>
      <c r="AH33" s="131"/>
    </row>
    <row r="34" spans="1:35" ht="8.1" customHeight="1">
      <c r="D34" s="114"/>
      <c r="F34" s="114"/>
      <c r="H34" s="114"/>
      <c r="J34" s="114"/>
      <c r="K34" s="114"/>
      <c r="M34" s="113"/>
      <c r="O34" s="113"/>
      <c r="Q34" s="113"/>
      <c r="S34" s="113"/>
      <c r="U34" s="114"/>
      <c r="W34" s="118"/>
      <c r="Y34" s="118"/>
      <c r="AA34" s="118"/>
      <c r="AC34" s="114"/>
      <c r="AE34" s="114"/>
      <c r="AG34" s="115"/>
      <c r="AH34" s="131"/>
    </row>
    <row r="35" spans="1:35">
      <c r="A35" s="110">
        <f>MAX($A$14:A34)+1</f>
        <v>20</v>
      </c>
      <c r="C35" s="178" t="s">
        <v>57</v>
      </c>
      <c r="D35" s="114"/>
      <c r="F35" s="114"/>
      <c r="H35" s="114"/>
      <c r="J35" s="114"/>
      <c r="K35" s="114"/>
      <c r="M35" s="113"/>
      <c r="O35" s="113"/>
      <c r="Q35" s="113"/>
      <c r="S35" s="113"/>
      <c r="U35" s="114"/>
      <c r="W35" s="118"/>
      <c r="Y35" s="118"/>
      <c r="AA35" s="118"/>
      <c r="AC35" s="114"/>
      <c r="AE35" s="114"/>
      <c r="AG35" s="115"/>
      <c r="AH35" s="131"/>
    </row>
    <row r="36" spans="1:35">
      <c r="A36" s="110">
        <f>MAX($A$14:A35)+1</f>
        <v>21</v>
      </c>
      <c r="C36" s="109" t="s">
        <v>58</v>
      </c>
      <c r="D36" s="114"/>
      <c r="E36" s="110">
        <v>7</v>
      </c>
      <c r="F36" s="114"/>
      <c r="G36" s="113">
        <v>188</v>
      </c>
      <c r="H36" s="114"/>
      <c r="I36" s="113">
        <v>273.56599999999997</v>
      </c>
      <c r="J36" s="114"/>
      <c r="K36" s="114">
        <v>49.518940811808122</v>
      </c>
      <c r="M36" s="113">
        <f t="shared" ref="M36:M39" si="9">I36</f>
        <v>273.56599999999997</v>
      </c>
      <c r="O36" s="113"/>
      <c r="Q36" s="113"/>
      <c r="S36" s="113">
        <f>ROUND(M36*$M$47+O36*$O$47+Q36*$Q$47,3)</f>
        <v>298.35399999999998</v>
      </c>
      <c r="U36" s="114">
        <f>ROUND(S36*$K$48/100,3)</f>
        <v>2.5539999999999998</v>
      </c>
      <c r="W36" s="118">
        <f>$W$48</f>
        <v>0.93400000000000005</v>
      </c>
      <c r="Y36" s="118">
        <f>$Y$48</f>
        <v>0.91700000000000004</v>
      </c>
      <c r="AA36" s="118">
        <f>$AA$48</f>
        <v>0.88600000000000001</v>
      </c>
      <c r="AC36" s="114">
        <f>ROUND((M36*$AC$48+O36*$AE$48+Q36*$AG$48)/100,3)</f>
        <v>2.0049999999999999</v>
      </c>
      <c r="AE36" s="114">
        <f t="shared" ref="AE36:AE39" si="10">U36-AC36</f>
        <v>0.54899999999999993</v>
      </c>
      <c r="AG36" s="115">
        <f>AE36/(K36+AC36)</f>
        <v>1.0655240871524748E-2</v>
      </c>
      <c r="AH36" s="131"/>
    </row>
    <row r="37" spans="1:35">
      <c r="A37" s="110">
        <f>MAX($A$14:A36)+1</f>
        <v>22</v>
      </c>
      <c r="C37" s="109" t="s">
        <v>59</v>
      </c>
      <c r="D37" s="114"/>
      <c r="E37" s="123" t="s">
        <v>60</v>
      </c>
      <c r="F37" s="114"/>
      <c r="G37" s="113">
        <v>132</v>
      </c>
      <c r="H37" s="114"/>
      <c r="I37" s="113">
        <v>105.72499999999999</v>
      </c>
      <c r="J37" s="114"/>
      <c r="K37" s="114">
        <v>24.165279999999999</v>
      </c>
      <c r="M37" s="113">
        <f t="shared" si="9"/>
        <v>105.72499999999999</v>
      </c>
      <c r="O37" s="113"/>
      <c r="Q37" s="113"/>
      <c r="S37" s="113">
        <f>ROUND(M37*$M$47+O37*$O$47+Q37*$Q$47,3)</f>
        <v>115.30500000000001</v>
      </c>
      <c r="U37" s="114">
        <f>ROUND(S37*$K$48/100,3)</f>
        <v>0.98699999999999999</v>
      </c>
      <c r="W37" s="118">
        <f>$W$48</f>
        <v>0.93400000000000005</v>
      </c>
      <c r="Y37" s="118">
        <f>$Y$48</f>
        <v>0.91700000000000004</v>
      </c>
      <c r="AA37" s="118">
        <f>$AA$48</f>
        <v>0.88600000000000001</v>
      </c>
      <c r="AC37" s="114">
        <f>ROUND((M37*$AC$48+O37*$AE$48+Q37*$AG$48)/100,3)</f>
        <v>0.77500000000000002</v>
      </c>
      <c r="AE37" s="114">
        <f t="shared" si="10"/>
        <v>0.21199999999999997</v>
      </c>
      <c r="AG37" s="115">
        <f>AE37/(K37+AC37)</f>
        <v>8.5003055298497037E-3</v>
      </c>
      <c r="AH37" s="131"/>
    </row>
    <row r="38" spans="1:35">
      <c r="A38" s="110">
        <f>MAX($A$14:A37)+1</f>
        <v>23</v>
      </c>
      <c r="C38" s="109" t="s">
        <v>61</v>
      </c>
      <c r="D38" s="114"/>
      <c r="E38" s="110">
        <v>11</v>
      </c>
      <c r="F38" s="114"/>
      <c r="G38" s="113">
        <v>57</v>
      </c>
      <c r="H38" s="114"/>
      <c r="I38" s="113">
        <v>153.71600000000001</v>
      </c>
      <c r="J38" s="114"/>
      <c r="K38" s="114">
        <v>61.185319999999997</v>
      </c>
      <c r="M38" s="113">
        <f t="shared" si="9"/>
        <v>153.71600000000001</v>
      </c>
      <c r="O38" s="113"/>
      <c r="Q38" s="113"/>
      <c r="S38" s="113">
        <f>ROUND(M38*$M$47+O38*$O$47+Q38*$Q$47,3)</f>
        <v>167.64400000000001</v>
      </c>
      <c r="U38" s="114">
        <f>ROUND(S38*$K$48/100,3)</f>
        <v>1.4350000000000001</v>
      </c>
      <c r="W38" s="118">
        <f>$W$48</f>
        <v>0.93400000000000005</v>
      </c>
      <c r="Y38" s="118">
        <f>$Y$48</f>
        <v>0.91700000000000004</v>
      </c>
      <c r="AA38" s="118">
        <f>$AA$48</f>
        <v>0.88600000000000001</v>
      </c>
      <c r="AC38" s="114">
        <f>ROUND((M38*$AC$48+O38*$AE$48+Q38*$AG$48)/100,3)</f>
        <v>1.127</v>
      </c>
      <c r="AE38" s="114">
        <f t="shared" si="10"/>
        <v>0.30800000000000005</v>
      </c>
      <c r="AG38" s="115">
        <f>AE38/(K38+AC38)</f>
        <v>4.9428427636781947E-3</v>
      </c>
      <c r="AH38" s="131"/>
    </row>
    <row r="39" spans="1:35">
      <c r="A39" s="110">
        <f>MAX($A$14:A38)+1</f>
        <v>24</v>
      </c>
      <c r="C39" s="109" t="s">
        <v>62</v>
      </c>
      <c r="D39" s="114"/>
      <c r="E39" s="110">
        <v>12</v>
      </c>
      <c r="F39" s="114"/>
      <c r="G39" s="113">
        <v>256</v>
      </c>
      <c r="H39" s="114"/>
      <c r="I39" s="113">
        <v>2417.4490000000001</v>
      </c>
      <c r="J39" s="114"/>
      <c r="K39" s="114">
        <v>368.209810312</v>
      </c>
      <c r="M39" s="113">
        <f t="shared" si="9"/>
        <v>2417.4490000000001</v>
      </c>
      <c r="O39" s="113"/>
      <c r="Q39" s="113"/>
      <c r="S39" s="113">
        <f>ROUND(M39*$M$47+O39*$O$47+Q39*$Q$47,3)</f>
        <v>2636.4940000000001</v>
      </c>
      <c r="U39" s="114">
        <f>ROUND(S39*$K$48/100,3)</f>
        <v>22.574000000000002</v>
      </c>
      <c r="W39" s="118">
        <f>$W$48</f>
        <v>0.93400000000000005</v>
      </c>
      <c r="Y39" s="118">
        <f>$Y$48</f>
        <v>0.91700000000000004</v>
      </c>
      <c r="AA39" s="118">
        <f>$AA$48</f>
        <v>0.88600000000000001</v>
      </c>
      <c r="AC39" s="114">
        <f>ROUND((M39*$AC$48+O39*$AE$48+Q39*$AG$48)/100,3)</f>
        <v>17.72</v>
      </c>
      <c r="AE39" s="114">
        <f t="shared" si="10"/>
        <v>4.8540000000000028</v>
      </c>
      <c r="AG39" s="115">
        <f>AE39/(K39+AC39)</f>
        <v>1.2577416593125701E-2</v>
      </c>
      <c r="AH39" s="131"/>
    </row>
    <row r="40" spans="1:35">
      <c r="A40" s="110">
        <f>MAX($A$14:A39)+1</f>
        <v>25</v>
      </c>
      <c r="C40" s="109" t="s">
        <v>37</v>
      </c>
      <c r="D40" s="114"/>
      <c r="E40" s="123"/>
      <c r="F40" s="114"/>
      <c r="G40" s="124"/>
      <c r="H40" s="114"/>
      <c r="I40" s="124"/>
      <c r="J40" s="114"/>
      <c r="K40" s="125">
        <v>0</v>
      </c>
      <c r="M40" s="124"/>
      <c r="O40" s="124"/>
      <c r="Q40" s="124"/>
      <c r="S40" s="124"/>
      <c r="U40" s="125"/>
      <c r="W40" s="126"/>
      <c r="Y40" s="126"/>
      <c r="AA40" s="126"/>
      <c r="AC40" s="125"/>
      <c r="AE40" s="125"/>
      <c r="AG40" s="127"/>
      <c r="AH40" s="131"/>
    </row>
    <row r="41" spans="1:35">
      <c r="A41" s="110">
        <f>MAX($A$14:A40)+1</f>
        <v>26</v>
      </c>
      <c r="C41" s="158" t="s">
        <v>63</v>
      </c>
      <c r="D41" s="114"/>
      <c r="F41" s="114"/>
      <c r="G41" s="113">
        <v>633</v>
      </c>
      <c r="H41" s="113"/>
      <c r="I41" s="113">
        <v>2950.4560000000001</v>
      </c>
      <c r="J41" s="113"/>
      <c r="K41" s="114">
        <v>503.07935112380812</v>
      </c>
      <c r="M41" s="113">
        <f>SUM(M36:M40)</f>
        <v>2950.4560000000001</v>
      </c>
      <c r="O41" s="113">
        <f>SUM(O36:O40)</f>
        <v>0</v>
      </c>
      <c r="Q41" s="113">
        <f>SUM(Q36:Q40)</f>
        <v>0</v>
      </c>
      <c r="S41" s="113">
        <f>SUM(S36:S40)</f>
        <v>3217.797</v>
      </c>
      <c r="U41" s="114">
        <f>SUM(U36:U40)</f>
        <v>27.55</v>
      </c>
      <c r="W41" s="118"/>
      <c r="Y41" s="118"/>
      <c r="AA41" s="118"/>
      <c r="AC41" s="114">
        <f>SUM(AC36:AC40)</f>
        <v>21.626999999999999</v>
      </c>
      <c r="AE41" s="114">
        <f>SUM(AE36:AE40)</f>
        <v>5.9230000000000027</v>
      </c>
      <c r="AG41" s="115">
        <f>AE41/(K41+AC41)</f>
        <v>1.1288218614686504E-2</v>
      </c>
      <c r="AH41" s="131"/>
    </row>
    <row r="42" spans="1:35" ht="7.5" customHeight="1">
      <c r="A42" s="110"/>
      <c r="D42" s="114"/>
      <c r="F42" s="114"/>
      <c r="H42" s="114"/>
      <c r="J42" s="114"/>
      <c r="K42" s="114"/>
      <c r="M42" s="113"/>
      <c r="O42" s="113"/>
      <c r="Q42" s="113"/>
      <c r="S42" s="113"/>
      <c r="U42" s="114"/>
      <c r="W42" s="118"/>
      <c r="Y42" s="118"/>
      <c r="AA42" s="118"/>
      <c r="AC42" s="114"/>
      <c r="AE42" s="114"/>
      <c r="AG42" s="115"/>
      <c r="AH42" s="131"/>
    </row>
    <row r="43" spans="1:35" ht="13.5" thickBot="1">
      <c r="A43" s="110">
        <f>MAX($A$14:A42)+1</f>
        <v>27</v>
      </c>
      <c r="C43" s="158" t="s">
        <v>64</v>
      </c>
      <c r="D43" s="114"/>
      <c r="F43" s="114"/>
      <c r="G43" s="132">
        <v>85669.416666666672</v>
      </c>
      <c r="H43" s="113"/>
      <c r="I43" s="132">
        <v>3526358.7109999997</v>
      </c>
      <c r="J43" s="113"/>
      <c r="K43" s="133">
        <v>279491.13453177566</v>
      </c>
      <c r="M43" s="132">
        <f>M17+M33+M41</f>
        <v>1889510.5160000001</v>
      </c>
      <c r="O43" s="132">
        <f>O17+O33+O41</f>
        <v>44433.426000000014</v>
      </c>
      <c r="Q43" s="132">
        <f>Q17+Q33+Q41</f>
        <v>1592414.7689999999</v>
      </c>
      <c r="S43" s="132">
        <f>S17+S33+S41</f>
        <v>3756496.3249999997</v>
      </c>
      <c r="U43" s="133">
        <f>U17+U33+U41</f>
        <v>32242.152999999995</v>
      </c>
      <c r="W43" s="134"/>
      <c r="Y43" s="134"/>
      <c r="AA43" s="134"/>
      <c r="AC43" s="133">
        <f>AC17+AC33+AC41</f>
        <v>25308.027000000002</v>
      </c>
      <c r="AE43" s="133">
        <f>AE17+AE33+AE41</f>
        <v>6934.1260000000002</v>
      </c>
      <c r="AG43" s="135">
        <f>AE43/(K43+AC43)</f>
        <v>2.2749819799872086E-2</v>
      </c>
      <c r="AH43" s="136"/>
      <c r="AI43" s="136"/>
    </row>
    <row r="44" spans="1:35" ht="14.25" thickTop="1" thickBot="1">
      <c r="A44" s="110">
        <f>MAX($A$14:A43)+1</f>
        <v>28</v>
      </c>
      <c r="C44" s="158" t="s">
        <v>65</v>
      </c>
      <c r="D44" s="114"/>
      <c r="F44" s="114"/>
      <c r="G44" s="132">
        <f>G43-G31</f>
        <v>85668.416666666672</v>
      </c>
      <c r="H44" s="113"/>
      <c r="I44" s="132">
        <f>I43-I31</f>
        <v>2156642.9289999995</v>
      </c>
      <c r="J44" s="113"/>
      <c r="K44" s="133">
        <f>K43-K31</f>
        <v>200025.72153177566</v>
      </c>
      <c r="M44" s="132">
        <f>M43-M31</f>
        <v>1889510.5160000001</v>
      </c>
      <c r="O44" s="132">
        <f>O43-O31</f>
        <v>44433.426000000014</v>
      </c>
      <c r="Q44" s="132">
        <f>Q43-Q31</f>
        <v>222698.98699999996</v>
      </c>
      <c r="S44" s="132">
        <f>S43-S31</f>
        <v>2338799.3989999997</v>
      </c>
      <c r="U44" s="133">
        <f>U43-U31</f>
        <v>20024.686999999994</v>
      </c>
      <c r="W44" s="134"/>
      <c r="Y44" s="134"/>
      <c r="AA44" s="134"/>
      <c r="AC44" s="133">
        <f>AC43-AC31</f>
        <v>15720.017000000002</v>
      </c>
      <c r="AE44" s="133">
        <f>AE43-AE31</f>
        <v>4304.67</v>
      </c>
      <c r="AG44" s="135">
        <f>AE44/(K44+AC44)</f>
        <v>1.9952514609534202E-2</v>
      </c>
      <c r="AH44" s="136"/>
      <c r="AI44" s="136"/>
    </row>
    <row r="45" spans="1:35" ht="12" customHeight="1" thickTop="1">
      <c r="A45" s="110"/>
      <c r="D45" s="114"/>
      <c r="F45" s="114"/>
      <c r="H45" s="113"/>
      <c r="J45" s="113"/>
      <c r="K45" s="114"/>
      <c r="M45" s="113"/>
      <c r="O45" s="113"/>
      <c r="Q45" s="113"/>
      <c r="S45" s="113"/>
      <c r="U45" s="114"/>
      <c r="W45" s="114"/>
      <c r="Y45" s="114"/>
      <c r="AA45" s="115"/>
      <c r="AC45" s="114"/>
      <c r="AE45" s="114"/>
      <c r="AG45" s="115"/>
      <c r="AH45" s="131"/>
    </row>
    <row r="46" spans="1:35" ht="12.75" customHeight="1">
      <c r="D46" s="109"/>
      <c r="F46" s="109"/>
      <c r="G46" s="109"/>
      <c r="H46" s="109"/>
      <c r="I46" s="124" t="s">
        <v>66</v>
      </c>
      <c r="J46" s="109"/>
      <c r="K46" s="137" t="s">
        <v>67</v>
      </c>
      <c r="M46" s="230" t="s">
        <v>68</v>
      </c>
      <c r="N46" s="230"/>
      <c r="O46" s="230"/>
      <c r="P46" s="230"/>
      <c r="Q46" s="230"/>
      <c r="W46" s="230" t="s">
        <v>69</v>
      </c>
      <c r="X46" s="230"/>
      <c r="Y46" s="230"/>
      <c r="Z46" s="230"/>
      <c r="AA46" s="230"/>
      <c r="AC46" s="229" t="s">
        <v>70</v>
      </c>
      <c r="AD46" s="229"/>
      <c r="AE46" s="229"/>
      <c r="AF46" s="229"/>
      <c r="AG46" s="229"/>
    </row>
    <row r="47" spans="1:35">
      <c r="A47" s="110">
        <f>MAX($A$14:A46)+1</f>
        <v>29</v>
      </c>
      <c r="G47" s="146" t="s">
        <v>71</v>
      </c>
      <c r="I47" s="109"/>
      <c r="J47" s="109"/>
      <c r="K47" s="109"/>
      <c r="M47" s="10">
        <v>1.0906100000000001</v>
      </c>
      <c r="N47" s="9"/>
      <c r="O47" s="10">
        <v>1.0708200000000001</v>
      </c>
      <c r="P47" s="9"/>
      <c r="Q47" s="10">
        <v>1.0350299999999999</v>
      </c>
      <c r="T47" s="138"/>
      <c r="W47" s="139" t="s">
        <v>27</v>
      </c>
      <c r="X47" s="140"/>
      <c r="Y47" s="140" t="s">
        <v>28</v>
      </c>
      <c r="Z47" s="141"/>
      <c r="AA47" s="139" t="s">
        <v>29</v>
      </c>
      <c r="AC47" s="139" t="s">
        <v>27</v>
      </c>
      <c r="AD47" s="140"/>
      <c r="AE47" s="140" t="s">
        <v>28</v>
      </c>
      <c r="AF47" s="141"/>
      <c r="AG47" s="139" t="s">
        <v>29</v>
      </c>
    </row>
    <row r="48" spans="1:35">
      <c r="A48" s="110">
        <f>MAX($A$14:A47)+1</f>
        <v>30</v>
      </c>
      <c r="C48" s="111"/>
      <c r="D48" s="109"/>
      <c r="F48" s="109"/>
      <c r="G48" s="142" t="s">
        <v>72</v>
      </c>
      <c r="I48" s="143">
        <f>I50-U31</f>
        <v>20024.689282152642</v>
      </c>
      <c r="J48" s="109"/>
      <c r="K48" s="144">
        <f>I48/(S43-S31)*100</f>
        <v>0.85619524661732838</v>
      </c>
      <c r="M48" s="144">
        <f>ROUND($K48*M$47,3)</f>
        <v>0.93400000000000005</v>
      </c>
      <c r="N48" s="144"/>
      <c r="O48" s="144">
        <f>ROUND($K48*O$47,3)</f>
        <v>0.91700000000000004</v>
      </c>
      <c r="P48" s="144"/>
      <c r="Q48" s="144">
        <f>ROUND($K48*Q$47,3)</f>
        <v>0.88600000000000001</v>
      </c>
      <c r="T48" s="112"/>
      <c r="U48" s="179" t="s">
        <v>73</v>
      </c>
      <c r="W48" s="147">
        <f>M48</f>
        <v>0.93400000000000005</v>
      </c>
      <c r="X48" s="148"/>
      <c r="Y48" s="148">
        <f>O48</f>
        <v>0.91700000000000004</v>
      </c>
      <c r="Z48" s="148"/>
      <c r="AA48" s="149">
        <f>Q48</f>
        <v>0.88600000000000001</v>
      </c>
      <c r="AC48" s="147">
        <v>0.73299999999999998</v>
      </c>
      <c r="AD48" s="148"/>
      <c r="AE48" s="148">
        <v>0.72</v>
      </c>
      <c r="AF48" s="148"/>
      <c r="AG48" s="149">
        <v>0.69599999999999995</v>
      </c>
    </row>
    <row r="49" spans="1:33">
      <c r="A49" s="110">
        <f>MAX($A$14:A48)+1</f>
        <v>31</v>
      </c>
      <c r="C49" s="111"/>
      <c r="G49" s="142" t="s">
        <v>74</v>
      </c>
      <c r="I49" s="143">
        <f>'NPC-Summary'!C15/1000</f>
        <v>-130.67896080219478</v>
      </c>
      <c r="J49" s="109"/>
      <c r="K49" s="144">
        <f>I49/S43*100</f>
        <v>-3.4787458710529894E-3</v>
      </c>
      <c r="M49" s="144">
        <f>ROUND($K49*M$47,3)</f>
        <v>-4.0000000000000001E-3</v>
      </c>
      <c r="N49" s="144"/>
      <c r="O49" s="144">
        <f>ROUND($K49*O$47,3)</f>
        <v>-4.0000000000000001E-3</v>
      </c>
      <c r="P49" s="144"/>
      <c r="Q49" s="144">
        <f>ROUND($K49*Q$47,3)</f>
        <v>-4.0000000000000001E-3</v>
      </c>
      <c r="T49" s="112"/>
      <c r="U49" s="179" t="s">
        <v>75</v>
      </c>
      <c r="W49" s="150"/>
      <c r="X49" s="151"/>
      <c r="Y49" s="151"/>
      <c r="Z49" s="151"/>
      <c r="AA49" s="152">
        <f>Q50-Q49</f>
        <v>0.89200000000000002</v>
      </c>
      <c r="AC49" s="153"/>
      <c r="AD49" s="154"/>
      <c r="AE49" s="155"/>
      <c r="AF49" s="154"/>
      <c r="AG49" s="156">
        <v>0.7</v>
      </c>
    </row>
    <row r="50" spans="1:33">
      <c r="A50" s="110">
        <f>MAX($A$14:A49)+1</f>
        <v>32</v>
      </c>
      <c r="G50" s="146" t="s">
        <v>76</v>
      </c>
      <c r="I50" s="113">
        <f>'NPC-Table 2'!C12/1000</f>
        <v>32242.155282152642</v>
      </c>
      <c r="K50" s="144">
        <f>I50/S43*100</f>
        <v>0.85830392186401638</v>
      </c>
      <c r="M50" s="144">
        <f>ROUND($K50*M$47,3)</f>
        <v>0.93600000000000005</v>
      </c>
      <c r="N50" s="144"/>
      <c r="O50" s="144">
        <f>ROUND($K50*O$47,3)</f>
        <v>0.91900000000000004</v>
      </c>
      <c r="P50" s="144"/>
      <c r="Q50" s="144">
        <f>ROUND($K50*Q$47,3)</f>
        <v>0.88800000000000001</v>
      </c>
      <c r="Y50" s="179" t="s">
        <v>77</v>
      </c>
      <c r="AA50" s="218">
        <f>ROUND(S31*$K$49/100,3)</f>
        <v>-49.317999999999998</v>
      </c>
    </row>
    <row r="51" spans="1:33">
      <c r="A51" s="110"/>
      <c r="C51" s="145"/>
      <c r="M51" s="144"/>
      <c r="N51" s="144"/>
      <c r="O51" s="144"/>
      <c r="P51" s="144"/>
      <c r="Q51" s="144"/>
      <c r="AC51" s="114"/>
    </row>
    <row r="52" spans="1:33">
      <c r="K52" s="114"/>
      <c r="M52" s="188"/>
      <c r="AC52" s="114">
        <f>AC44+K44</f>
        <v>215745.73853177566</v>
      </c>
    </row>
    <row r="53" spans="1:33">
      <c r="M53" s="188"/>
    </row>
    <row r="54" spans="1:33">
      <c r="M54" s="188"/>
    </row>
  </sheetData>
  <mergeCells count="3">
    <mergeCell ref="AC46:AG46"/>
    <mergeCell ref="M46:Q46"/>
    <mergeCell ref="W46:AA46"/>
  </mergeCells>
  <printOptions horizontalCentered="1"/>
  <pageMargins left="0.25" right="0.25" top="1" bottom="0.5" header="0.5" footer="0.25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66667-B68F-4B8A-9FBD-9DD6C939BCD7}">
  <dimension ref="A2:F24"/>
  <sheetViews>
    <sheetView tabSelected="1" workbookViewId="0">
      <selection activeCell="C17" sqref="C17"/>
    </sheetView>
  </sheetViews>
  <sheetFormatPr defaultRowHeight="12.75"/>
  <cols>
    <col min="2" max="2" width="33.140625" bestFit="1" customWidth="1"/>
    <col min="3" max="3" width="15" bestFit="1" customWidth="1"/>
    <col min="6" max="6" width="11.28515625" bestFit="1" customWidth="1"/>
  </cols>
  <sheetData>
    <row r="2" spans="1:6" ht="13.5" thickBot="1">
      <c r="B2" s="196" t="s">
        <v>78</v>
      </c>
      <c r="C2" s="196"/>
    </row>
    <row r="3" spans="1:6">
      <c r="B3" s="197"/>
      <c r="C3" s="198"/>
    </row>
    <row r="4" spans="1:6">
      <c r="B4" s="199" t="s">
        <v>79</v>
      </c>
      <c r="C4" s="200">
        <v>35322826.332895115</v>
      </c>
    </row>
    <row r="5" spans="1:6">
      <c r="B5" s="199" t="s">
        <v>80</v>
      </c>
      <c r="C5" s="201">
        <v>190656.24</v>
      </c>
    </row>
    <row r="6" spans="1:6">
      <c r="B6" s="199" t="s">
        <v>81</v>
      </c>
      <c r="C6" s="201">
        <v>-1578588.0747389572</v>
      </c>
    </row>
    <row r="7" spans="1:6">
      <c r="B7" s="202" t="s">
        <v>82</v>
      </c>
      <c r="C7" s="203">
        <f>SUM(C4:C6)</f>
        <v>33934894.49815616</v>
      </c>
    </row>
    <row r="8" spans="1:6">
      <c r="B8" s="204"/>
      <c r="C8" s="200"/>
    </row>
    <row r="9" spans="1:6">
      <c r="B9" s="199" t="s">
        <v>83</v>
      </c>
      <c r="C9" s="205">
        <v>0.9</v>
      </c>
    </row>
    <row r="10" spans="1:6">
      <c r="B10" s="199" t="s">
        <v>84</v>
      </c>
      <c r="C10" s="203">
        <f>C7*C9</f>
        <v>30541405.048340544</v>
      </c>
    </row>
    <row r="11" spans="1:6">
      <c r="B11" s="199"/>
      <c r="C11" s="200"/>
    </row>
    <row r="12" spans="1:6">
      <c r="B12" s="206" t="s">
        <v>85</v>
      </c>
      <c r="C12" s="201">
        <v>1388020.2070340367</v>
      </c>
    </row>
    <row r="13" spans="1:6">
      <c r="B13" s="206" t="s">
        <v>86</v>
      </c>
      <c r="C13" s="201">
        <v>634304.80680445721</v>
      </c>
    </row>
    <row r="14" spans="1:6" ht="15">
      <c r="A14" s="207"/>
      <c r="B14" s="219" t="s">
        <v>87</v>
      </c>
      <c r="C14" s="201">
        <v>-295039.06683005503</v>
      </c>
    </row>
    <row r="15" spans="1:6">
      <c r="B15" s="206" t="s">
        <v>88</v>
      </c>
      <c r="C15" s="208">
        <v>-130678.96080219478</v>
      </c>
    </row>
    <row r="16" spans="1:6">
      <c r="B16" s="206" t="s">
        <v>89</v>
      </c>
      <c r="C16" s="201">
        <v>326543.87183176796</v>
      </c>
      <c r="F16" s="209"/>
    </row>
    <row r="17" spans="2:3">
      <c r="B17" s="210" t="s">
        <v>90</v>
      </c>
      <c r="C17" s="211">
        <f>+SUM(C10:C16)</f>
        <v>32464555.906378556</v>
      </c>
    </row>
    <row r="18" spans="2:3">
      <c r="B18" s="206"/>
      <c r="C18" s="212"/>
    </row>
    <row r="19" spans="2:3">
      <c r="B19" s="206" t="s">
        <v>91</v>
      </c>
      <c r="C19" s="213">
        <v>29925542.710558001</v>
      </c>
    </row>
    <row r="20" spans="2:3">
      <c r="B20" s="206" t="s">
        <v>92</v>
      </c>
      <c r="C20" s="201">
        <v>-20448620.800000001</v>
      </c>
    </row>
    <row r="21" spans="2:3" ht="13.5" thickBot="1">
      <c r="B21" s="202" t="s">
        <v>93</v>
      </c>
      <c r="C21" s="214">
        <f>SUM(C17:C20)</f>
        <v>41941477.816936553</v>
      </c>
    </row>
    <row r="22" spans="2:3" ht="14.25" thickTop="1" thickBot="1">
      <c r="B22" s="215"/>
      <c r="C22" s="216"/>
    </row>
    <row r="23" spans="2:3">
      <c r="C23" s="209"/>
    </row>
    <row r="24" spans="2:3">
      <c r="C24" s="2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5"/>
  <sheetViews>
    <sheetView showGridLines="0" workbookViewId="0">
      <selection activeCell="C4" sqref="C4"/>
    </sheetView>
  </sheetViews>
  <sheetFormatPr defaultRowHeight="12.75"/>
  <cols>
    <col min="1" max="1" width="4.42578125" customWidth="1"/>
    <col min="2" max="2" width="44.7109375" customWidth="1"/>
    <col min="3" max="3" width="14.7109375" customWidth="1"/>
    <col min="4" max="4" width="1.7109375" customWidth="1"/>
  </cols>
  <sheetData>
    <row r="1" spans="2:4" ht="15.75">
      <c r="B1" s="231" t="s">
        <v>94</v>
      </c>
      <c r="C1" s="231"/>
      <c r="D1" s="231"/>
    </row>
    <row r="2" spans="2:4" ht="15.75">
      <c r="B2" s="232" t="s">
        <v>95</v>
      </c>
      <c r="C2" s="232"/>
      <c r="D2" s="232"/>
    </row>
    <row r="3" spans="2:4" s="58" customFormat="1" ht="15.75">
      <c r="B3" s="74" t="s">
        <v>96</v>
      </c>
      <c r="C3" s="90"/>
      <c r="D3" s="91"/>
    </row>
    <row r="4" spans="2:4" s="58" customFormat="1" ht="15.75">
      <c r="B4" s="81" t="s">
        <v>97</v>
      </c>
      <c r="C4" s="82">
        <v>29925542.710558001</v>
      </c>
      <c r="D4" s="73"/>
    </row>
    <row r="5" spans="2:4" s="58" customFormat="1" ht="15.75">
      <c r="B5" s="81" t="s">
        <v>90</v>
      </c>
      <c r="C5" s="83">
        <v>32138012.034546789</v>
      </c>
      <c r="D5" s="73"/>
    </row>
    <row r="6" spans="2:4" s="58" customFormat="1" ht="15.75">
      <c r="B6" s="81" t="s">
        <v>98</v>
      </c>
      <c r="C6" s="83">
        <v>326543.87183176796</v>
      </c>
      <c r="D6" s="73"/>
    </row>
    <row r="7" spans="2:4" s="58" customFormat="1" ht="15.75">
      <c r="B7" s="81" t="s">
        <v>99</v>
      </c>
      <c r="C7" s="84">
        <v>-20448620.800000001</v>
      </c>
      <c r="D7" s="73"/>
    </row>
    <row r="8" spans="2:4" s="58" customFormat="1" ht="15.75">
      <c r="B8" s="74" t="s">
        <v>100</v>
      </c>
      <c r="C8" s="85">
        <f>SUM(C4:C7)</f>
        <v>41941477.816936553</v>
      </c>
      <c r="D8" s="73"/>
    </row>
    <row r="9" spans="2:4" s="58" customFormat="1" ht="15.75">
      <c r="B9" s="74"/>
      <c r="C9" s="86"/>
      <c r="D9" s="73"/>
    </row>
    <row r="10" spans="2:4" s="58" customFormat="1" ht="15.75">
      <c r="B10" s="194" t="s">
        <v>101</v>
      </c>
      <c r="C10" s="76">
        <f>Forecast!D22</f>
        <v>-9853367.4600000009</v>
      </c>
      <c r="D10" s="73"/>
    </row>
    <row r="11" spans="2:4" s="58" customFormat="1" ht="15.75">
      <c r="B11" s="194" t="s">
        <v>98</v>
      </c>
      <c r="C11" s="76">
        <f>Forecast!F22</f>
        <v>154044.92521608964</v>
      </c>
      <c r="D11" s="73"/>
    </row>
    <row r="12" spans="2:4" s="58" customFormat="1" ht="16.5" thickBot="1">
      <c r="B12" s="195" t="s">
        <v>102</v>
      </c>
      <c r="C12" s="77">
        <f>C8+C10+C11</f>
        <v>32242155.282152642</v>
      </c>
      <c r="D12" s="73"/>
    </row>
    <row r="13" spans="2:4" s="58" customFormat="1" ht="16.5" thickTop="1">
      <c r="B13" s="75"/>
      <c r="C13" s="78"/>
      <c r="D13" s="79"/>
    </row>
    <row r="15" spans="2:4">
      <c r="B15" s="58"/>
      <c r="C15" s="61"/>
    </row>
  </sheetData>
  <mergeCells count="2">
    <mergeCell ref="B1:D1"/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O26"/>
  <sheetViews>
    <sheetView zoomScale="90" zoomScaleNormal="90" workbookViewId="0">
      <selection activeCell="E17" sqref="E17"/>
    </sheetView>
  </sheetViews>
  <sheetFormatPr defaultRowHeight="12.75"/>
  <cols>
    <col min="1" max="1" width="14.28515625" bestFit="1" customWidth="1"/>
    <col min="2" max="2" width="6.7109375" bestFit="1" customWidth="1"/>
    <col min="3" max="3" width="6.7109375" customWidth="1"/>
    <col min="4" max="4" width="15.7109375" customWidth="1"/>
    <col min="5" max="5" width="12.7109375" customWidth="1"/>
    <col min="6" max="6" width="15.7109375" customWidth="1"/>
    <col min="7" max="7" width="12.7109375" customWidth="1"/>
    <col min="8" max="8" width="14.42578125" bestFit="1" customWidth="1"/>
    <col min="9" max="9" width="11.28515625" bestFit="1" customWidth="1"/>
    <col min="10" max="11" width="11" bestFit="1" customWidth="1"/>
    <col min="12" max="12" width="14.28515625" bestFit="1" customWidth="1"/>
    <col min="13" max="13" width="11.140625" bestFit="1" customWidth="1"/>
    <col min="14" max="14" width="12.5703125" bestFit="1" customWidth="1"/>
    <col min="15" max="15" width="10.85546875" bestFit="1" customWidth="1"/>
    <col min="16" max="16" width="3" customWidth="1"/>
    <col min="17" max="17" width="10" bestFit="1" customWidth="1"/>
  </cols>
  <sheetData>
    <row r="1" spans="1:15" ht="13.5" thickBot="1">
      <c r="B1" s="15" t="s">
        <v>103</v>
      </c>
      <c r="C1" s="16"/>
      <c r="D1" s="16"/>
      <c r="E1" s="17"/>
      <c r="F1" s="24"/>
      <c r="G1" s="25"/>
      <c r="H1" s="25"/>
      <c r="I1" s="26" t="s">
        <v>104</v>
      </c>
      <c r="J1" s="27"/>
      <c r="K1" s="28"/>
    </row>
    <row r="2" spans="1:15">
      <c r="A2" s="14" t="s">
        <v>105</v>
      </c>
      <c r="B2" s="18" t="s">
        <v>106</v>
      </c>
      <c r="C2" s="18"/>
      <c r="D2" s="19" t="s">
        <v>19</v>
      </c>
      <c r="E2" s="20" t="s">
        <v>107</v>
      </c>
      <c r="F2" s="29" t="s">
        <v>108</v>
      </c>
      <c r="G2" s="30" t="s">
        <v>109</v>
      </c>
      <c r="H2" s="31" t="s">
        <v>105</v>
      </c>
      <c r="I2" s="32" t="s">
        <v>110</v>
      </c>
      <c r="J2" s="33" t="s">
        <v>111</v>
      </c>
      <c r="K2" s="33" t="s">
        <v>112</v>
      </c>
    </row>
    <row r="3" spans="1:15">
      <c r="A3" t="str">
        <f>H3</f>
        <v>Sch 400</v>
      </c>
      <c r="B3" t="str">
        <f>I3</f>
        <v>202301</v>
      </c>
      <c r="C3" s="23" t="s">
        <v>113</v>
      </c>
      <c r="D3" s="42">
        <f>J3</f>
        <v>827400</v>
      </c>
      <c r="E3" s="60">
        <f t="shared" ref="E3:E9" si="0">D3/K3*100</f>
        <v>0.70000000000000007</v>
      </c>
      <c r="F3" s="63">
        <f>SUM(J3:J4)/SUM(K3:K4)*100</f>
        <v>0.70000000000000007</v>
      </c>
      <c r="G3" s="40"/>
      <c r="H3" s="35" t="s">
        <v>114</v>
      </c>
      <c r="I3" s="36" t="str">
        <f>'ECAM-Rev'!C14</f>
        <v>202301</v>
      </c>
      <c r="J3" s="69">
        <f>'ECAM-Rev'!G14</f>
        <v>827400</v>
      </c>
      <c r="K3" s="37">
        <f>'ECAM-Rev'!E14</f>
        <v>118200000</v>
      </c>
      <c r="L3" s="6">
        <f t="shared" ref="L3:L12" si="1">J3/K3*100</f>
        <v>0.70000000000000007</v>
      </c>
      <c r="M3" s="11"/>
    </row>
    <row r="4" spans="1:15">
      <c r="B4" t="str">
        <f>I4</f>
        <v>202302</v>
      </c>
      <c r="C4" s="23" t="s">
        <v>113</v>
      </c>
      <c r="D4" s="42">
        <f>J4</f>
        <v>886550</v>
      </c>
      <c r="E4" s="60">
        <f t="shared" si="0"/>
        <v>0.70000000000000007</v>
      </c>
      <c r="F4" s="39"/>
      <c r="G4" s="40"/>
      <c r="H4" s="35"/>
      <c r="I4" s="36" t="str">
        <f>'ECAM-Rev'!C15</f>
        <v>202302</v>
      </c>
      <c r="J4" s="69">
        <f>'ECAM-Rev'!G15</f>
        <v>886550</v>
      </c>
      <c r="K4" s="37">
        <f>'ECAM-Rev'!E15</f>
        <v>126650000</v>
      </c>
      <c r="L4" s="6">
        <f t="shared" si="1"/>
        <v>0.70000000000000007</v>
      </c>
      <c r="M4" s="11"/>
    </row>
    <row r="5" spans="1:15">
      <c r="B5">
        <f>B4+1</f>
        <v>202303</v>
      </c>
      <c r="C5" s="23" t="s">
        <v>115</v>
      </c>
      <c r="D5" s="42">
        <f>ROUND($F$3*K5/100,2)</f>
        <v>816550</v>
      </c>
      <c r="E5" s="60">
        <f t="shared" si="0"/>
        <v>0.70000000000000007</v>
      </c>
      <c r="F5" s="25"/>
      <c r="G5" s="38"/>
      <c r="H5" s="38"/>
      <c r="I5" s="36">
        <f>'ECAM-Rev'!C4</f>
        <v>202203</v>
      </c>
      <c r="J5" s="69">
        <f>'ECAM-Rev'!G4</f>
        <v>388444.5</v>
      </c>
      <c r="K5" s="37">
        <f>'ECAM-Rev'!E4</f>
        <v>116650000</v>
      </c>
      <c r="L5" s="6">
        <f t="shared" si="1"/>
        <v>0.33300000000000002</v>
      </c>
      <c r="M5" s="11"/>
    </row>
    <row r="6" spans="1:15">
      <c r="B6">
        <f t="shared" ref="B6:B7" si="2">B5+1</f>
        <v>202304</v>
      </c>
      <c r="C6" s="23" t="s">
        <v>115</v>
      </c>
      <c r="D6" s="42">
        <f>ROUND($F$3*K6/100,2)</f>
        <v>868000</v>
      </c>
      <c r="E6" s="60">
        <f t="shared" si="0"/>
        <v>0.70000000000000007</v>
      </c>
      <c r="F6" s="25"/>
      <c r="G6" s="40"/>
      <c r="H6" s="40"/>
      <c r="I6" s="36" t="str">
        <f>'ECAM-Rev'!C5</f>
        <v>202204</v>
      </c>
      <c r="J6" s="69">
        <f>'ECAM-Rev'!G5</f>
        <v>412920</v>
      </c>
      <c r="K6" s="37">
        <f>'ECAM-Rev'!E5</f>
        <v>124000000</v>
      </c>
      <c r="L6" s="6">
        <f t="shared" si="1"/>
        <v>0.33300000000000002</v>
      </c>
      <c r="M6" s="42"/>
    </row>
    <row r="7" spans="1:15">
      <c r="A7" s="13"/>
      <c r="B7" s="13">
        <f t="shared" si="2"/>
        <v>202305</v>
      </c>
      <c r="C7" s="66" t="s">
        <v>115</v>
      </c>
      <c r="D7" s="43">
        <f>ROUND($F$3*K7/100,2)</f>
        <v>863100</v>
      </c>
      <c r="E7" s="62">
        <f t="shared" si="0"/>
        <v>0.70000000000000007</v>
      </c>
      <c r="G7" s="40"/>
      <c r="H7" s="40"/>
      <c r="I7" s="36" t="str">
        <f>'ECAM-Rev'!C6</f>
        <v>202205</v>
      </c>
      <c r="J7" s="69">
        <f>'ECAM-Rev'!G6</f>
        <v>410589</v>
      </c>
      <c r="K7" s="37">
        <f>'ECAM-Rev'!E6</f>
        <v>123300000</v>
      </c>
      <c r="L7" s="6">
        <f t="shared" si="1"/>
        <v>0.33300000000000002</v>
      </c>
    </row>
    <row r="8" spans="1:15">
      <c r="A8" t="s">
        <v>116</v>
      </c>
      <c r="B8" t="str">
        <f>I8</f>
        <v>202301</v>
      </c>
      <c r="C8" s="23" t="s">
        <v>113</v>
      </c>
      <c r="D8" s="42">
        <f>J8</f>
        <v>1249168.6399999999</v>
      </c>
      <c r="E8" s="60">
        <f t="shared" si="0"/>
        <v>0.72927204813554536</v>
      </c>
      <c r="F8" s="63">
        <f>SUM(J8:J9)/SUM(K8:K9)*100</f>
        <v>0.72917476301023021</v>
      </c>
      <c r="G8" s="40"/>
      <c r="H8" s="35" t="s">
        <v>116</v>
      </c>
      <c r="I8" s="36" t="str">
        <f>'ECAM-Rev'!C28</f>
        <v>202301</v>
      </c>
      <c r="J8" s="69">
        <f>'ECAM-Rev'!G28</f>
        <v>1249168.6399999999</v>
      </c>
      <c r="K8" s="37">
        <f>'ECAM-Rev'!E28</f>
        <v>171289801</v>
      </c>
      <c r="L8" s="6">
        <f t="shared" si="1"/>
        <v>0.72927204813554536</v>
      </c>
    </row>
    <row r="9" spans="1:15">
      <c r="B9" t="str">
        <f>I9</f>
        <v>202302</v>
      </c>
      <c r="C9" s="23" t="s">
        <v>113</v>
      </c>
      <c r="D9" s="42">
        <f>J9</f>
        <v>1215403.07</v>
      </c>
      <c r="E9" s="60">
        <f t="shared" si="0"/>
        <v>0.72907480221391519</v>
      </c>
      <c r="F9" s="12"/>
      <c r="G9" s="40"/>
      <c r="H9" s="35"/>
      <c r="I9" s="36" t="str">
        <f>'ECAM-Rev'!C29</f>
        <v>202302</v>
      </c>
      <c r="J9" s="69">
        <f>'ECAM-Rev'!G29</f>
        <v>1215403.07</v>
      </c>
      <c r="K9" s="37">
        <f>'ECAM-Rev'!E29</f>
        <v>166704852</v>
      </c>
      <c r="L9" s="6">
        <f t="shared" si="1"/>
        <v>0.72907480221391519</v>
      </c>
    </row>
    <row r="10" spans="1:15">
      <c r="B10">
        <f>B9+1</f>
        <v>202303</v>
      </c>
      <c r="C10" s="23" t="s">
        <v>115</v>
      </c>
      <c r="D10" s="42">
        <f>ROUND($F$8*K10/100,2)</f>
        <v>1083605.71</v>
      </c>
      <c r="E10" s="12">
        <f>D10/K10*100</f>
        <v>0.72917476309835005</v>
      </c>
      <c r="G10" s="38"/>
      <c r="H10" s="38"/>
      <c r="I10" s="36" t="str">
        <f>'ECAM-Rev'!C18</f>
        <v>202203</v>
      </c>
      <c r="J10" s="69">
        <f>'ECAM-Rev'!G18</f>
        <v>522391.53</v>
      </c>
      <c r="K10" s="37">
        <f>'ECAM-Rev'!E18</f>
        <v>148607133</v>
      </c>
      <c r="L10" s="6">
        <f t="shared" si="1"/>
        <v>0.35152520572481538</v>
      </c>
    </row>
    <row r="11" spans="1:15">
      <c r="B11">
        <f t="shared" ref="B11:B12" si="3">B10+1</f>
        <v>202304</v>
      </c>
      <c r="C11" s="23" t="s">
        <v>115</v>
      </c>
      <c r="D11" s="42">
        <f>ROUND($F$8*K11/100,2)</f>
        <v>970480.12</v>
      </c>
      <c r="E11" s="12">
        <f>D11/K11*100</f>
        <v>0.72917476110434376</v>
      </c>
      <c r="G11" s="40"/>
      <c r="H11" s="40"/>
      <c r="I11" s="36" t="str">
        <f>'ECAM-Rev'!C19</f>
        <v>202204</v>
      </c>
      <c r="J11" s="69">
        <f>'ECAM-Rev'!G19</f>
        <v>466367</v>
      </c>
      <c r="K11" s="37">
        <f>'ECAM-Rev'!E19</f>
        <v>133092939</v>
      </c>
      <c r="L11" s="6">
        <f t="shared" si="1"/>
        <v>0.35040701896289178</v>
      </c>
    </row>
    <row r="12" spans="1:15">
      <c r="A12" s="13"/>
      <c r="B12" s="13">
        <f t="shared" si="3"/>
        <v>202305</v>
      </c>
      <c r="C12" s="66" t="s">
        <v>115</v>
      </c>
      <c r="D12" s="43">
        <f>ROUND($F$8*K12/100,2)</f>
        <v>1073109.92</v>
      </c>
      <c r="E12" s="21">
        <f>D12/K12*100</f>
        <v>0.72917476485299493</v>
      </c>
      <c r="G12" s="41"/>
      <c r="H12" s="41"/>
      <c r="I12" s="36" t="str">
        <f>'ECAM-Rev'!C20</f>
        <v>202205</v>
      </c>
      <c r="J12" s="69">
        <f>'ECAM-Rev'!G20</f>
        <v>517137.71</v>
      </c>
      <c r="K12" s="37">
        <f>'ECAM-Rev'!E20</f>
        <v>147167726</v>
      </c>
      <c r="L12" s="6">
        <f t="shared" si="1"/>
        <v>0.35139342303896171</v>
      </c>
    </row>
    <row r="13" spans="1:15">
      <c r="D13" s="5"/>
      <c r="E13" s="22"/>
      <c r="F13" s="5"/>
    </row>
    <row r="14" spans="1:15">
      <c r="B14" s="44" t="s">
        <v>117</v>
      </c>
      <c r="C14" s="44"/>
      <c r="D14" s="44"/>
      <c r="E14" s="44"/>
      <c r="F14" s="45"/>
      <c r="G14" s="46"/>
      <c r="H14" s="64" t="s">
        <v>118</v>
      </c>
    </row>
    <row r="15" spans="1:15">
      <c r="B15" s="47"/>
      <c r="C15" s="47"/>
      <c r="D15" s="47"/>
      <c r="E15" s="48" t="s">
        <v>119</v>
      </c>
      <c r="F15" s="49"/>
      <c r="G15" s="49"/>
      <c r="H15" s="65">
        <v>0.01</v>
      </c>
      <c r="O15" s="8"/>
    </row>
    <row r="16" spans="1:15">
      <c r="B16" s="50" t="s">
        <v>106</v>
      </c>
      <c r="C16" s="50"/>
      <c r="D16" s="50" t="s">
        <v>120</v>
      </c>
      <c r="E16" s="50" t="s">
        <v>121</v>
      </c>
      <c r="F16" s="50" t="s">
        <v>98</v>
      </c>
      <c r="G16" s="50" t="s">
        <v>122</v>
      </c>
      <c r="H16" s="34" t="s">
        <v>123</v>
      </c>
      <c r="O16" s="8"/>
    </row>
    <row r="17" spans="1:15">
      <c r="B17" s="47" t="str">
        <f>B8</f>
        <v>202301</v>
      </c>
      <c r="C17" s="67" t="s">
        <v>113</v>
      </c>
      <c r="D17" s="51">
        <f>-(D3+D8)</f>
        <v>-2076568.64</v>
      </c>
      <c r="E17" s="52">
        <f>'NPC-Table 2'!C8</f>
        <v>41941477.816936553</v>
      </c>
      <c r="F17" s="51">
        <f>(E17+0.5*D17*$H$17)*$H$15/12</f>
        <v>34085.994580780462</v>
      </c>
      <c r="G17" s="51">
        <f>SUM(D17:F17)</f>
        <v>39898995.171517335</v>
      </c>
      <c r="H17" s="34">
        <v>1</v>
      </c>
      <c r="O17" s="8"/>
    </row>
    <row r="18" spans="1:15">
      <c r="B18" s="47" t="str">
        <f t="shared" ref="B18:B21" si="4">B9</f>
        <v>202302</v>
      </c>
      <c r="C18" s="67" t="s">
        <v>113</v>
      </c>
      <c r="D18" s="51">
        <f>-(D4+D9)</f>
        <v>-2101953.0700000003</v>
      </c>
      <c r="E18" s="51">
        <f t="shared" ref="E18:E21" si="5">G17</f>
        <v>39898995.171517335</v>
      </c>
      <c r="F18" s="51">
        <f t="shared" ref="F18:F21" si="6">(E18+0.5*D18*$H$17)*$H$15/12</f>
        <v>32373.348863764444</v>
      </c>
      <c r="G18" s="51">
        <f>SUM(D18:F18)</f>
        <v>37829415.4503811</v>
      </c>
      <c r="O18" s="8"/>
    </row>
    <row r="19" spans="1:15">
      <c r="B19" s="47">
        <f t="shared" si="4"/>
        <v>202303</v>
      </c>
      <c r="C19" s="67" t="s">
        <v>115</v>
      </c>
      <c r="D19" s="51">
        <f>-(D5+D10)</f>
        <v>-1900155.71</v>
      </c>
      <c r="E19" s="51">
        <f t="shared" si="5"/>
        <v>37829415.4503811</v>
      </c>
      <c r="F19" s="51">
        <f t="shared" si="6"/>
        <v>30732.781329484253</v>
      </c>
      <c r="G19" s="51">
        <f t="shared" ref="G19:G21" si="7">SUM(D19:F19)</f>
        <v>35959992.521710582</v>
      </c>
      <c r="O19" s="8"/>
    </row>
    <row r="20" spans="1:15">
      <c r="B20" s="47">
        <f t="shared" si="4"/>
        <v>202304</v>
      </c>
      <c r="C20" s="67" t="s">
        <v>115</v>
      </c>
      <c r="D20" s="51">
        <f>-(D6+D11)</f>
        <v>-1838480.12</v>
      </c>
      <c r="E20" s="51">
        <f t="shared" si="5"/>
        <v>35959992.521710582</v>
      </c>
      <c r="F20" s="51">
        <f t="shared" si="6"/>
        <v>29200.627051425483</v>
      </c>
      <c r="G20" s="51">
        <f t="shared" si="7"/>
        <v>34150713.028762013</v>
      </c>
      <c r="O20" s="8"/>
    </row>
    <row r="21" spans="1:15">
      <c r="B21" s="53">
        <f t="shared" si="4"/>
        <v>202305</v>
      </c>
      <c r="C21" s="68" t="s">
        <v>115</v>
      </c>
      <c r="D21" s="54">
        <f>-(D7+D12)</f>
        <v>-1936209.9199999999</v>
      </c>
      <c r="E21" s="54">
        <f t="shared" si="5"/>
        <v>34150713.028762013</v>
      </c>
      <c r="F21" s="54">
        <f t="shared" si="6"/>
        <v>27652.173390635013</v>
      </c>
      <c r="G21" s="54">
        <f t="shared" si="7"/>
        <v>32242155.282152645</v>
      </c>
      <c r="O21" s="8"/>
    </row>
    <row r="22" spans="1:15" ht="13.5" thickBot="1">
      <c r="B22" s="55" t="s">
        <v>124</v>
      </c>
      <c r="C22" s="55"/>
      <c r="D22" s="56">
        <f>SUM(D17:D21)</f>
        <v>-9853367.4600000009</v>
      </c>
      <c r="E22" s="57"/>
      <c r="F22" s="57">
        <f>SUM(F17:F21)</f>
        <v>154044.92521608964</v>
      </c>
      <c r="G22" s="57">
        <f>G21</f>
        <v>32242155.282152645</v>
      </c>
      <c r="O22" s="6"/>
    </row>
    <row r="23" spans="1:15" ht="13.5" thickTop="1"/>
    <row r="24" spans="1:15">
      <c r="A24" s="23" t="s">
        <v>125</v>
      </c>
    </row>
    <row r="25" spans="1:15">
      <c r="A25" s="23" t="s">
        <v>126</v>
      </c>
    </row>
    <row r="26" spans="1:15">
      <c r="O26" s="7"/>
    </row>
  </sheetData>
  <printOptions horizontalCentered="1"/>
  <pageMargins left="0.5" right="0.5" top="1" bottom="1" header="0.5" footer="0.5"/>
  <pageSetup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A1:I5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23" sqref="E23"/>
    </sheetView>
  </sheetViews>
  <sheetFormatPr defaultRowHeight="12.75"/>
  <cols>
    <col min="1" max="1" width="7.85546875" bestFit="1" customWidth="1"/>
    <col min="2" max="2" width="14.28515625" bestFit="1" customWidth="1"/>
    <col min="3" max="3" width="11.140625" bestFit="1" customWidth="1"/>
    <col min="4" max="4" width="10.28515625" bestFit="1" customWidth="1"/>
    <col min="5" max="5" width="11.140625" bestFit="1" customWidth="1"/>
    <col min="6" max="6" width="10.85546875" customWidth="1"/>
    <col min="7" max="7" width="16.42578125" customWidth="1"/>
    <col min="8" max="8" width="11.7109375" bestFit="1" customWidth="1"/>
    <col min="9" max="9" width="11.5703125" bestFit="1" customWidth="1"/>
  </cols>
  <sheetData>
    <row r="1" spans="1:8">
      <c r="A1" s="189" t="s">
        <v>109</v>
      </c>
      <c r="B1" s="189" t="s">
        <v>105</v>
      </c>
      <c r="C1" s="189" t="s">
        <v>110</v>
      </c>
      <c r="D1" s="189" t="s">
        <v>111</v>
      </c>
      <c r="E1" s="189" t="s">
        <v>112</v>
      </c>
      <c r="F1" s="87" t="s">
        <v>127</v>
      </c>
      <c r="G1" s="59" t="s">
        <v>128</v>
      </c>
      <c r="H1" s="71" t="s">
        <v>129</v>
      </c>
    </row>
    <row r="2" spans="1:8">
      <c r="A2" s="190" t="s">
        <v>130</v>
      </c>
      <c r="B2" s="190" t="s">
        <v>114</v>
      </c>
      <c r="C2" s="191" t="s">
        <v>131</v>
      </c>
      <c r="D2" s="37">
        <v>336832.83</v>
      </c>
      <c r="E2" s="37">
        <v>101151000</v>
      </c>
      <c r="F2" s="80"/>
      <c r="G2" s="80">
        <f t="shared" ref="G2:G29" si="0">D2+F2</f>
        <v>336832.83</v>
      </c>
      <c r="H2" s="60">
        <f t="shared" ref="H2:H29" si="1">G2/E2*100</f>
        <v>0.33300000000000002</v>
      </c>
    </row>
    <row r="3" spans="1:8">
      <c r="A3" s="192"/>
      <c r="B3" s="192"/>
      <c r="C3" s="191" t="s">
        <v>132</v>
      </c>
      <c r="D3" s="37">
        <v>388444.5</v>
      </c>
      <c r="E3" s="37">
        <v>116650000</v>
      </c>
      <c r="F3" s="80"/>
      <c r="G3" s="80">
        <f t="shared" si="0"/>
        <v>388444.5</v>
      </c>
      <c r="H3" s="60">
        <f t="shared" si="1"/>
        <v>0.33300000000000002</v>
      </c>
    </row>
    <row r="4" spans="1:8">
      <c r="A4" s="192"/>
      <c r="B4" s="192"/>
      <c r="C4" s="191">
        <v>202203</v>
      </c>
      <c r="D4" s="37">
        <v>388444.5</v>
      </c>
      <c r="E4" s="37">
        <v>116650000</v>
      </c>
      <c r="F4" s="80"/>
      <c r="G4" s="80">
        <f t="shared" si="0"/>
        <v>388444.5</v>
      </c>
      <c r="H4" s="60">
        <f t="shared" si="1"/>
        <v>0.33300000000000002</v>
      </c>
    </row>
    <row r="5" spans="1:8">
      <c r="A5" s="192"/>
      <c r="B5" s="192"/>
      <c r="C5" s="191" t="s">
        <v>133</v>
      </c>
      <c r="D5" s="37">
        <v>412920</v>
      </c>
      <c r="E5" s="37">
        <v>124000000</v>
      </c>
      <c r="F5" s="80"/>
      <c r="G5" s="80">
        <f t="shared" si="0"/>
        <v>412920</v>
      </c>
      <c r="H5" s="60">
        <f t="shared" si="1"/>
        <v>0.33300000000000002</v>
      </c>
    </row>
    <row r="6" spans="1:8">
      <c r="A6" s="192"/>
      <c r="B6" s="192"/>
      <c r="C6" s="191" t="s">
        <v>134</v>
      </c>
      <c r="D6" s="37">
        <v>410589</v>
      </c>
      <c r="E6" s="37">
        <v>123300000</v>
      </c>
      <c r="F6" s="80"/>
      <c r="G6" s="80">
        <f t="shared" si="0"/>
        <v>410589</v>
      </c>
      <c r="H6" s="60">
        <f t="shared" si="1"/>
        <v>0.33300000000000002</v>
      </c>
    </row>
    <row r="7" spans="1:8">
      <c r="A7" s="192"/>
      <c r="B7" s="192"/>
      <c r="C7" s="191" t="s">
        <v>135</v>
      </c>
      <c r="D7" s="37">
        <v>422577</v>
      </c>
      <c r="E7" s="37">
        <v>126900000</v>
      </c>
      <c r="F7" s="80"/>
      <c r="G7" s="80">
        <f t="shared" si="0"/>
        <v>422577</v>
      </c>
      <c r="H7" s="60">
        <f t="shared" si="1"/>
        <v>0.33300000000000002</v>
      </c>
    </row>
    <row r="8" spans="1:8">
      <c r="A8" s="192"/>
      <c r="B8" s="192"/>
      <c r="C8" s="191" t="s">
        <v>136</v>
      </c>
      <c r="D8" s="37">
        <v>877800</v>
      </c>
      <c r="E8" s="37">
        <v>125400000</v>
      </c>
      <c r="F8" s="80"/>
      <c r="G8" s="80">
        <f t="shared" si="0"/>
        <v>877800</v>
      </c>
      <c r="H8" s="60">
        <f t="shared" si="1"/>
        <v>0.70000000000000007</v>
      </c>
    </row>
    <row r="9" spans="1:8">
      <c r="A9" s="192"/>
      <c r="B9" s="192"/>
      <c r="C9" s="191">
        <v>202208</v>
      </c>
      <c r="D9" s="37">
        <v>877800</v>
      </c>
      <c r="E9" s="37">
        <v>125400000</v>
      </c>
      <c r="F9" s="80"/>
      <c r="G9" s="80">
        <f t="shared" si="0"/>
        <v>877800</v>
      </c>
      <c r="H9" s="60">
        <f t="shared" si="1"/>
        <v>0.70000000000000007</v>
      </c>
    </row>
    <row r="10" spans="1:8">
      <c r="A10" s="192"/>
      <c r="B10" s="192"/>
      <c r="C10" s="191" t="s">
        <v>137</v>
      </c>
      <c r="D10" s="37">
        <v>667100</v>
      </c>
      <c r="E10" s="37">
        <v>95300000</v>
      </c>
      <c r="F10" s="80"/>
      <c r="G10" s="80">
        <f t="shared" si="0"/>
        <v>667100</v>
      </c>
      <c r="H10" s="60">
        <f t="shared" si="1"/>
        <v>0.70000000000000007</v>
      </c>
    </row>
    <row r="11" spans="1:8">
      <c r="A11" s="192"/>
      <c r="B11" s="192"/>
      <c r="C11" s="191" t="s">
        <v>138</v>
      </c>
      <c r="D11" s="37">
        <v>807100</v>
      </c>
      <c r="E11" s="37">
        <v>115300000</v>
      </c>
      <c r="F11" s="80"/>
      <c r="G11" s="80">
        <f t="shared" si="0"/>
        <v>807100</v>
      </c>
      <c r="H11" s="60">
        <f t="shared" si="1"/>
        <v>0.70000000000000007</v>
      </c>
    </row>
    <row r="12" spans="1:8">
      <c r="A12" s="192"/>
      <c r="B12" s="192"/>
      <c r="C12" s="191" t="s">
        <v>139</v>
      </c>
      <c r="D12" s="37">
        <v>880600</v>
      </c>
      <c r="E12" s="37">
        <v>125800000</v>
      </c>
      <c r="F12" s="80"/>
      <c r="G12" s="80">
        <f t="shared" si="0"/>
        <v>880600</v>
      </c>
      <c r="H12" s="60">
        <f t="shared" si="1"/>
        <v>0.70000000000000007</v>
      </c>
    </row>
    <row r="13" spans="1:8">
      <c r="A13" s="192"/>
      <c r="B13" s="192"/>
      <c r="C13" s="191" t="s">
        <v>140</v>
      </c>
      <c r="D13" s="37">
        <v>604100</v>
      </c>
      <c r="E13" s="37">
        <v>86300000</v>
      </c>
      <c r="F13" s="80"/>
      <c r="G13" s="80">
        <f t="shared" si="0"/>
        <v>604100</v>
      </c>
      <c r="H13" s="60">
        <f t="shared" si="1"/>
        <v>0.70000000000000007</v>
      </c>
    </row>
    <row r="14" spans="1:8">
      <c r="A14" s="192"/>
      <c r="B14" s="192"/>
      <c r="C14" s="191" t="s">
        <v>141</v>
      </c>
      <c r="D14" s="37">
        <v>827400</v>
      </c>
      <c r="E14" s="37">
        <v>118200000</v>
      </c>
      <c r="F14" s="80"/>
      <c r="G14" s="80">
        <f t="shared" si="0"/>
        <v>827400</v>
      </c>
      <c r="H14" s="60">
        <f t="shared" si="1"/>
        <v>0.70000000000000007</v>
      </c>
    </row>
    <row r="15" spans="1:8">
      <c r="A15" s="192"/>
      <c r="B15" s="193"/>
      <c r="C15" s="191" t="s">
        <v>142</v>
      </c>
      <c r="D15" s="37">
        <f>1773100/2</f>
        <v>886550</v>
      </c>
      <c r="E15" s="37">
        <f>253300000/2</f>
        <v>126650000</v>
      </c>
      <c r="F15" s="80"/>
      <c r="G15" s="80">
        <f t="shared" si="0"/>
        <v>886550</v>
      </c>
      <c r="H15" s="60">
        <f t="shared" si="1"/>
        <v>0.70000000000000007</v>
      </c>
    </row>
    <row r="16" spans="1:8">
      <c r="A16" s="192"/>
      <c r="B16" s="190" t="s">
        <v>116</v>
      </c>
      <c r="C16" s="191" t="s">
        <v>131</v>
      </c>
      <c r="D16" s="37">
        <v>558518.31999999995</v>
      </c>
      <c r="E16" s="37">
        <v>158397937</v>
      </c>
      <c r="F16" s="80"/>
      <c r="G16" s="80">
        <f t="shared" si="0"/>
        <v>558518.31999999995</v>
      </c>
      <c r="H16" s="60">
        <f t="shared" si="1"/>
        <v>0.35260454181294038</v>
      </c>
    </row>
    <row r="17" spans="1:9">
      <c r="A17" s="192"/>
      <c r="B17" s="192"/>
      <c r="C17" s="191" t="s">
        <v>132</v>
      </c>
      <c r="D17" s="37">
        <v>567788.51</v>
      </c>
      <c r="E17" s="37">
        <v>161683313</v>
      </c>
      <c r="F17" s="80"/>
      <c r="G17" s="80">
        <f t="shared" si="0"/>
        <v>567788.51</v>
      </c>
      <c r="H17" s="60">
        <f t="shared" si="1"/>
        <v>0.35117322837143994</v>
      </c>
    </row>
    <row r="18" spans="1:9">
      <c r="A18" s="192"/>
      <c r="B18" s="192"/>
      <c r="C18" s="191" t="s">
        <v>143</v>
      </c>
      <c r="D18" s="37">
        <v>522391.53</v>
      </c>
      <c r="E18" s="37">
        <v>148607133</v>
      </c>
      <c r="F18" s="80"/>
      <c r="G18" s="80">
        <f t="shared" si="0"/>
        <v>522391.53</v>
      </c>
      <c r="H18" s="60">
        <f t="shared" si="1"/>
        <v>0.35152520572481538</v>
      </c>
    </row>
    <row r="19" spans="1:9">
      <c r="A19" s="192"/>
      <c r="B19" s="192"/>
      <c r="C19" s="191" t="s">
        <v>133</v>
      </c>
      <c r="D19" s="37">
        <v>466367</v>
      </c>
      <c r="E19" s="37">
        <v>133092939</v>
      </c>
      <c r="F19" s="80"/>
      <c r="G19" s="80">
        <f t="shared" si="0"/>
        <v>466367</v>
      </c>
      <c r="H19" s="60">
        <f t="shared" si="1"/>
        <v>0.35040701896289178</v>
      </c>
    </row>
    <row r="20" spans="1:9">
      <c r="A20" s="192"/>
      <c r="B20" s="192"/>
      <c r="C20" s="191" t="s">
        <v>134</v>
      </c>
      <c r="D20" s="37">
        <v>517137.71</v>
      </c>
      <c r="E20" s="37">
        <v>147167726</v>
      </c>
      <c r="F20" s="80"/>
      <c r="G20" s="80">
        <f t="shared" si="0"/>
        <v>517137.71</v>
      </c>
      <c r="H20" s="60">
        <f t="shared" si="1"/>
        <v>0.35139342303896171</v>
      </c>
      <c r="I20" s="70"/>
    </row>
    <row r="21" spans="1:9">
      <c r="A21" s="192"/>
      <c r="B21" s="192"/>
      <c r="C21" s="191" t="s">
        <v>135</v>
      </c>
      <c r="D21" s="37">
        <v>1124439.5900000001</v>
      </c>
      <c r="E21" s="37">
        <v>215833047</v>
      </c>
      <c r="F21" s="80"/>
      <c r="G21" s="80">
        <f t="shared" si="0"/>
        <v>1124439.5900000001</v>
      </c>
      <c r="H21" s="60">
        <f t="shared" si="1"/>
        <v>0.52097656296350214</v>
      </c>
      <c r="I21" s="70"/>
    </row>
    <row r="22" spans="1:9">
      <c r="A22" s="192"/>
      <c r="B22" s="192"/>
      <c r="C22" s="191" t="s">
        <v>136</v>
      </c>
      <c r="D22" s="37">
        <v>2373246.41</v>
      </c>
      <c r="E22" s="37">
        <v>335566944</v>
      </c>
      <c r="F22" s="80"/>
      <c r="G22" s="80">
        <f t="shared" si="0"/>
        <v>2373246.41</v>
      </c>
      <c r="H22" s="60">
        <f t="shared" si="1"/>
        <v>0.70723486101181654</v>
      </c>
      <c r="I22" s="70"/>
    </row>
    <row r="23" spans="1:9">
      <c r="A23" s="192"/>
      <c r="B23" s="192"/>
      <c r="C23" s="191" t="s">
        <v>144</v>
      </c>
      <c r="D23" s="37">
        <v>2064606.26</v>
      </c>
      <c r="E23" s="37">
        <v>282536146</v>
      </c>
      <c r="F23" s="80"/>
      <c r="G23" s="80">
        <f t="shared" si="0"/>
        <v>2064606.26</v>
      </c>
      <c r="H23" s="60">
        <f t="shared" si="1"/>
        <v>0.7307405757562786</v>
      </c>
    </row>
    <row r="24" spans="1:9">
      <c r="A24" s="192"/>
      <c r="B24" s="192"/>
      <c r="C24" s="191" t="s">
        <v>137</v>
      </c>
      <c r="D24" s="37">
        <v>1743669.26</v>
      </c>
      <c r="E24" s="37">
        <v>238560437</v>
      </c>
      <c r="F24" s="80"/>
      <c r="G24" s="80">
        <f t="shared" si="0"/>
        <v>1743669.26</v>
      </c>
      <c r="H24" s="60">
        <f t="shared" si="1"/>
        <v>0.73091300549554239</v>
      </c>
    </row>
    <row r="25" spans="1:9">
      <c r="A25" s="192"/>
      <c r="B25" s="192"/>
      <c r="C25" s="191" t="s">
        <v>138</v>
      </c>
      <c r="D25" s="37">
        <v>1080465.5900000001</v>
      </c>
      <c r="E25" s="37">
        <v>148241626</v>
      </c>
      <c r="F25" s="80"/>
      <c r="G25" s="80">
        <f t="shared" si="0"/>
        <v>1080465.5900000001</v>
      </c>
      <c r="H25" s="60">
        <f t="shared" si="1"/>
        <v>0.7288543839906344</v>
      </c>
    </row>
    <row r="26" spans="1:9">
      <c r="A26" s="192"/>
      <c r="B26" s="192"/>
      <c r="C26" s="191" t="s">
        <v>139</v>
      </c>
      <c r="D26" s="37">
        <v>1031238.96</v>
      </c>
      <c r="E26" s="37">
        <v>141573594</v>
      </c>
      <c r="F26" s="80"/>
      <c r="G26" s="80">
        <f t="shared" si="0"/>
        <v>1031238.96</v>
      </c>
      <c r="H26" s="60">
        <f t="shared" si="1"/>
        <v>0.72841193817541994</v>
      </c>
    </row>
    <row r="27" spans="1:9">
      <c r="A27" s="192"/>
      <c r="B27" s="192"/>
      <c r="C27" s="191" t="s">
        <v>140</v>
      </c>
      <c r="D27" s="37">
        <v>1324443.83</v>
      </c>
      <c r="E27" s="37">
        <v>181714605</v>
      </c>
      <c r="F27" s="80"/>
      <c r="G27" s="80">
        <f t="shared" si="0"/>
        <v>1324443.83</v>
      </c>
      <c r="H27" s="60">
        <f t="shared" si="1"/>
        <v>0.72885931760961098</v>
      </c>
    </row>
    <row r="28" spans="1:9">
      <c r="A28" s="192"/>
      <c r="B28" s="192"/>
      <c r="C28" s="191" t="s">
        <v>141</v>
      </c>
      <c r="D28" s="37">
        <v>1249168.6399999999</v>
      </c>
      <c r="E28" s="37">
        <v>171289801</v>
      </c>
      <c r="F28" s="80"/>
      <c r="G28" s="80">
        <f t="shared" si="0"/>
        <v>1249168.6399999999</v>
      </c>
      <c r="H28" s="60">
        <f t="shared" si="1"/>
        <v>0.72927204813554536</v>
      </c>
    </row>
    <row r="29" spans="1:9">
      <c r="A29" s="193"/>
      <c r="B29" s="193"/>
      <c r="C29" s="191" t="s">
        <v>142</v>
      </c>
      <c r="D29" s="37">
        <v>1215403.07</v>
      </c>
      <c r="E29" s="37">
        <v>166704852</v>
      </c>
      <c r="F29" s="80"/>
      <c r="G29" s="80">
        <f t="shared" si="0"/>
        <v>1215403.07</v>
      </c>
      <c r="H29" s="60">
        <f t="shared" si="1"/>
        <v>0.72907480221391519</v>
      </c>
    </row>
    <row r="30" spans="1:9">
      <c r="B30" t="s">
        <v>145</v>
      </c>
      <c r="C30" s="88" t="str">
        <f>C16</f>
        <v>202201</v>
      </c>
      <c r="D30" s="72">
        <f>D2+D16</f>
        <v>895351.14999999991</v>
      </c>
      <c r="E30" s="72">
        <f>E2+E16</f>
        <v>259548937</v>
      </c>
      <c r="F30" s="72"/>
      <c r="G30" s="80">
        <f>D30+F30</f>
        <v>895351.14999999991</v>
      </c>
      <c r="H30" s="60">
        <f t="shared" ref="H30" si="2">G30/E30*100</f>
        <v>0.34496429087667579</v>
      </c>
    </row>
    <row r="31" spans="1:9">
      <c r="C31" s="88" t="str">
        <f t="shared" ref="C31:C43" si="3">C17</f>
        <v>202202</v>
      </c>
      <c r="D31" s="72">
        <f t="shared" ref="D31:E31" si="4">D3+D17</f>
        <v>956233.01</v>
      </c>
      <c r="E31" s="72">
        <f t="shared" si="4"/>
        <v>278333313</v>
      </c>
      <c r="F31" s="72"/>
      <c r="G31" s="80">
        <f t="shared" ref="G31:G43" si="5">D31+F31</f>
        <v>956233.01</v>
      </c>
      <c r="H31" s="60">
        <f t="shared" ref="H31:H43" si="6">G31/E31*100</f>
        <v>0.34355679515804133</v>
      </c>
    </row>
    <row r="32" spans="1:9">
      <c r="C32" s="88" t="str">
        <f t="shared" si="3"/>
        <v>202203</v>
      </c>
      <c r="D32" s="72">
        <f t="shared" ref="D32:E32" si="7">D4+D18</f>
        <v>910836.03</v>
      </c>
      <c r="E32" s="72">
        <f t="shared" si="7"/>
        <v>265257133</v>
      </c>
      <c r="F32" s="72"/>
      <c r="G32" s="80">
        <f t="shared" si="5"/>
        <v>910836.03</v>
      </c>
      <c r="H32" s="60">
        <f t="shared" si="6"/>
        <v>0.34337852471624203</v>
      </c>
    </row>
    <row r="33" spans="3:9">
      <c r="C33" s="88" t="str">
        <f t="shared" si="3"/>
        <v>202204</v>
      </c>
      <c r="D33" s="72">
        <f t="shared" ref="D33:E33" si="8">D5+D19</f>
        <v>879287</v>
      </c>
      <c r="E33" s="72">
        <f t="shared" si="8"/>
        <v>257092939</v>
      </c>
      <c r="F33" s="72"/>
      <c r="G33" s="80">
        <f t="shared" si="5"/>
        <v>879287</v>
      </c>
      <c r="H33" s="60">
        <f t="shared" si="6"/>
        <v>0.34201133777540271</v>
      </c>
    </row>
    <row r="34" spans="3:9">
      <c r="C34" s="88" t="str">
        <f t="shared" si="3"/>
        <v>202205</v>
      </c>
      <c r="D34" s="72">
        <f t="shared" ref="D34:E34" si="9">D6+D20</f>
        <v>927726.71</v>
      </c>
      <c r="E34" s="72">
        <f t="shared" si="9"/>
        <v>270467726</v>
      </c>
      <c r="F34" s="72"/>
      <c r="G34" s="80">
        <f t="shared" si="5"/>
        <v>927726.71</v>
      </c>
      <c r="H34" s="60">
        <f t="shared" si="6"/>
        <v>0.34300828558006952</v>
      </c>
    </row>
    <row r="35" spans="3:9">
      <c r="C35" s="88" t="str">
        <f t="shared" si="3"/>
        <v>202206</v>
      </c>
      <c r="D35" s="72">
        <f t="shared" ref="D35:E35" si="10">D7+D21</f>
        <v>1547016.59</v>
      </c>
      <c r="E35" s="72">
        <f t="shared" si="10"/>
        <v>342733047</v>
      </c>
      <c r="F35" s="72"/>
      <c r="G35" s="80">
        <f t="shared" si="5"/>
        <v>1547016.59</v>
      </c>
      <c r="H35" s="60">
        <f t="shared" si="6"/>
        <v>0.4513765461315436</v>
      </c>
    </row>
    <row r="36" spans="3:9">
      <c r="C36" s="88" t="str">
        <f t="shared" si="3"/>
        <v>202207</v>
      </c>
      <c r="D36" s="72">
        <f t="shared" ref="D36:E36" si="11">D8+D22</f>
        <v>3251046.41</v>
      </c>
      <c r="E36" s="72">
        <f t="shared" si="11"/>
        <v>460966944</v>
      </c>
      <c r="F36" s="72"/>
      <c r="G36" s="80">
        <f t="shared" si="5"/>
        <v>3251046.41</v>
      </c>
      <c r="H36" s="60">
        <f t="shared" si="6"/>
        <v>0.70526671213977554</v>
      </c>
    </row>
    <row r="37" spans="3:9">
      <c r="C37" s="88" t="str">
        <f t="shared" si="3"/>
        <v>202208</v>
      </c>
      <c r="D37" s="72">
        <f t="shared" ref="D37:E37" si="12">D9+D23</f>
        <v>2942406.26</v>
      </c>
      <c r="E37" s="72">
        <f t="shared" si="12"/>
        <v>407936146</v>
      </c>
      <c r="F37" s="72"/>
      <c r="G37" s="80">
        <f t="shared" si="5"/>
        <v>2942406.26</v>
      </c>
      <c r="H37" s="60">
        <f t="shared" si="6"/>
        <v>0.72129089046205763</v>
      </c>
    </row>
    <row r="38" spans="3:9">
      <c r="C38" s="88" t="str">
        <f t="shared" si="3"/>
        <v>202209</v>
      </c>
      <c r="D38" s="72">
        <f t="shared" ref="D38:E38" si="13">D10+D24</f>
        <v>2410769.2599999998</v>
      </c>
      <c r="E38" s="72">
        <f t="shared" si="13"/>
        <v>333860437</v>
      </c>
      <c r="F38" s="72"/>
      <c r="G38" s="80">
        <f t="shared" si="5"/>
        <v>2410769.2599999998</v>
      </c>
      <c r="H38" s="60">
        <f t="shared" si="6"/>
        <v>0.72208893083069914</v>
      </c>
    </row>
    <row r="39" spans="3:9">
      <c r="C39" s="88" t="str">
        <f t="shared" si="3"/>
        <v>202210</v>
      </c>
      <c r="D39" s="72">
        <f t="shared" ref="D39:E39" si="14">D11+D25</f>
        <v>1887565.59</v>
      </c>
      <c r="E39" s="72">
        <f t="shared" si="14"/>
        <v>263541626</v>
      </c>
      <c r="F39" s="72"/>
      <c r="G39" s="80">
        <f t="shared" si="5"/>
        <v>1887565.59</v>
      </c>
      <c r="H39" s="60">
        <f t="shared" si="6"/>
        <v>0.71623053202229248</v>
      </c>
    </row>
    <row r="40" spans="3:9">
      <c r="C40" s="88" t="str">
        <f t="shared" si="3"/>
        <v>202211</v>
      </c>
      <c r="D40" s="72">
        <f t="shared" ref="D40:E40" si="15">D12+D26</f>
        <v>1911838.96</v>
      </c>
      <c r="E40" s="72">
        <f t="shared" si="15"/>
        <v>267373594</v>
      </c>
      <c r="F40" s="72"/>
      <c r="G40" s="80">
        <f t="shared" si="5"/>
        <v>1911838.96</v>
      </c>
      <c r="H40" s="60">
        <f t="shared" si="6"/>
        <v>0.7150440443269801</v>
      </c>
    </row>
    <row r="41" spans="3:9">
      <c r="C41" s="88" t="str">
        <f t="shared" si="3"/>
        <v>202212</v>
      </c>
      <c r="D41" s="72">
        <f t="shared" ref="D41:E41" si="16">D13+D27</f>
        <v>1928543.83</v>
      </c>
      <c r="E41" s="72">
        <f t="shared" si="16"/>
        <v>268014605</v>
      </c>
      <c r="F41" s="72"/>
      <c r="G41" s="80">
        <f t="shared" si="5"/>
        <v>1928543.83</v>
      </c>
      <c r="H41" s="60">
        <f t="shared" si="6"/>
        <v>0.71956669301659892</v>
      </c>
    </row>
    <row r="42" spans="3:9">
      <c r="C42" s="88" t="str">
        <f t="shared" si="3"/>
        <v>202301</v>
      </c>
      <c r="D42" s="72">
        <f t="shared" ref="D42:E42" si="17">D14+D28</f>
        <v>2076568.64</v>
      </c>
      <c r="E42" s="72">
        <f t="shared" si="17"/>
        <v>289489801</v>
      </c>
      <c r="F42" s="72"/>
      <c r="G42" s="80">
        <f t="shared" si="5"/>
        <v>2076568.64</v>
      </c>
      <c r="H42" s="60">
        <f t="shared" si="6"/>
        <v>0.71732013798993899</v>
      </c>
    </row>
    <row r="43" spans="3:9">
      <c r="C43" s="88" t="str">
        <f t="shared" si="3"/>
        <v>202302</v>
      </c>
      <c r="D43" s="72">
        <f t="shared" ref="D43:E43" si="18">D15+D29</f>
        <v>2101953.0700000003</v>
      </c>
      <c r="E43" s="72">
        <f t="shared" si="18"/>
        <v>293354852</v>
      </c>
      <c r="F43" s="72"/>
      <c r="G43" s="80">
        <f t="shared" si="5"/>
        <v>2101953.0700000003</v>
      </c>
      <c r="H43" s="60">
        <f t="shared" si="6"/>
        <v>0.71652234679929561</v>
      </c>
    </row>
    <row r="44" spans="3:9">
      <c r="I44" s="72"/>
    </row>
    <row r="45" spans="3:9">
      <c r="E45" s="89"/>
      <c r="I45" s="72"/>
    </row>
    <row r="46" spans="3:9">
      <c r="E46" s="89"/>
      <c r="I46" s="72"/>
    </row>
    <row r="47" spans="3:9">
      <c r="I47" s="72"/>
    </row>
    <row r="48" spans="3:9">
      <c r="I48" s="72"/>
    </row>
    <row r="49" spans="9:9">
      <c r="I49" s="72"/>
    </row>
    <row r="50" spans="9:9">
      <c r="I50" s="72"/>
    </row>
    <row r="51" spans="9:9">
      <c r="I51" s="72"/>
    </row>
    <row r="52" spans="9:9">
      <c r="I52" s="72"/>
    </row>
    <row r="53" spans="9:9">
      <c r="I53" s="72"/>
    </row>
    <row r="54" spans="9:9">
      <c r="I54" s="72"/>
    </row>
    <row r="55" spans="9:9">
      <c r="I55" s="72"/>
    </row>
    <row r="56" spans="9:9">
      <c r="I56" s="72"/>
    </row>
    <row r="57" spans="9:9">
      <c r="I57" s="7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  <pageSetUpPr fitToPage="1"/>
  </sheetPr>
  <dimension ref="A1:AF52"/>
  <sheetViews>
    <sheetView view="pageBreakPreview" topLeftCell="A10" zoomScale="90" zoomScaleSheetLayoutView="90" workbookViewId="0">
      <selection activeCell="G20" sqref="G20"/>
    </sheetView>
  </sheetViews>
  <sheetFormatPr defaultColWidth="9.28515625" defaultRowHeight="12.75"/>
  <cols>
    <col min="1" max="1" width="5" style="109" customWidth="1"/>
    <col min="2" max="2" width="1.140625" style="109" customWidth="1"/>
    <col min="3" max="3" width="31.42578125" style="109" customWidth="1"/>
    <col min="4" max="4" width="1.140625" style="112" customWidth="1"/>
    <col min="5" max="5" width="5.5703125" style="109" bestFit="1" customWidth="1"/>
    <col min="6" max="6" width="1.140625" style="112" customWidth="1"/>
    <col min="7" max="7" width="7.7109375" style="113" bestFit="1" customWidth="1"/>
    <col min="8" max="8" width="1.140625" style="112" customWidth="1"/>
    <col min="9" max="9" width="9.5703125" style="113" bestFit="1" customWidth="1"/>
    <col min="10" max="10" width="1.140625" style="112" customWidth="1"/>
    <col min="11" max="11" width="9.140625" style="112" bestFit="1" customWidth="1"/>
    <col min="12" max="12" width="1.140625" style="109" customWidth="1"/>
    <col min="13" max="13" width="8.140625" style="109" bestFit="1" customWidth="1"/>
    <col min="14" max="14" width="1.140625" style="109" customWidth="1"/>
    <col min="15" max="15" width="9.140625" style="109" bestFit="1" customWidth="1"/>
    <col min="16" max="16" width="1.140625" style="112" customWidth="1"/>
    <col min="17" max="17" width="9.140625" style="112" bestFit="1" customWidth="1"/>
    <col min="18" max="18" width="1.140625" style="109" customWidth="1"/>
    <col min="19" max="19" width="8.140625" style="109" bestFit="1" customWidth="1"/>
    <col min="20" max="20" width="1.140625" style="109" customWidth="1"/>
    <col min="21" max="21" width="9.140625" style="109" bestFit="1" customWidth="1"/>
    <col min="22" max="22" width="1.140625" style="112" customWidth="1"/>
    <col min="23" max="23" width="6.28515625" style="112" bestFit="1" customWidth="1"/>
    <col min="24" max="24" width="1.140625" style="109" customWidth="1"/>
    <col min="25" max="25" width="5" style="109" bestFit="1" customWidth="1"/>
    <col min="26" max="26" width="1.140625" style="109" customWidth="1"/>
    <col min="27" max="27" width="7.7109375" style="109" bestFit="1" customWidth="1"/>
    <col min="28" max="28" width="1.140625" style="109" customWidth="1"/>
    <col min="29" max="29" width="7" style="109" bestFit="1" customWidth="1"/>
    <col min="30" max="30" width="4.28515625" style="109" customWidth="1"/>
    <col min="31" max="31" width="9.28515625" style="109"/>
    <col min="32" max="32" width="14.7109375" style="109" bestFit="1" customWidth="1"/>
    <col min="33" max="16384" width="9.28515625" style="109"/>
  </cols>
  <sheetData>
    <row r="1" spans="1:32" s="158" customFormat="1" ht="13.15" customHeight="1">
      <c r="A1" s="157" t="s">
        <v>146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32" s="158" customFormat="1" ht="13.15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81" t="s">
        <v>147</v>
      </c>
    </row>
    <row r="3" spans="1:32" s="158" customFormat="1" ht="13.15" customHeigh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82" t="s">
        <v>148</v>
      </c>
    </row>
    <row r="4" spans="1:32" s="158" customFormat="1" ht="13.15" customHeight="1">
      <c r="A4" s="157" t="s">
        <v>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83">
        <v>23</v>
      </c>
    </row>
    <row r="5" spans="1:32" s="158" customFormat="1" ht="13.15" customHeight="1">
      <c r="A5" s="157" t="s">
        <v>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60"/>
    </row>
    <row r="6" spans="1:32" s="158" customFormat="1" ht="13.15" customHeight="1">
      <c r="A6" s="157" t="s">
        <v>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60"/>
    </row>
    <row r="7" spans="1:32" s="158" customFormat="1" ht="13.15" customHeight="1">
      <c r="A7" s="157" t="s">
        <v>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</row>
    <row r="8" spans="1:32" s="158" customFormat="1">
      <c r="D8" s="159"/>
      <c r="E8" s="160"/>
      <c r="F8" s="161"/>
      <c r="G8" s="162"/>
      <c r="H8" s="161"/>
      <c r="I8" s="161"/>
      <c r="J8" s="161"/>
      <c r="P8" s="161"/>
      <c r="V8" s="161"/>
    </row>
    <row r="9" spans="1:32" s="158" customFormat="1">
      <c r="A9" s="168" t="s">
        <v>12</v>
      </c>
      <c r="D9" s="169"/>
      <c r="E9" s="168"/>
      <c r="F9" s="169"/>
      <c r="G9" s="170" t="s">
        <v>13</v>
      </c>
      <c r="H9" s="169"/>
      <c r="I9" s="170"/>
      <c r="J9" s="169"/>
      <c r="K9" s="184" t="s">
        <v>149</v>
      </c>
      <c r="L9" s="185"/>
      <c r="M9" s="165"/>
      <c r="N9" s="165"/>
      <c r="O9" s="165"/>
      <c r="P9" s="169"/>
      <c r="Q9" s="184" t="s">
        <v>150</v>
      </c>
      <c r="R9" s="185"/>
      <c r="S9" s="165"/>
      <c r="T9" s="165"/>
      <c r="U9" s="165"/>
      <c r="V9" s="169"/>
      <c r="W9" s="184" t="s">
        <v>151</v>
      </c>
      <c r="X9" s="185"/>
      <c r="Y9" s="185"/>
      <c r="Z9" s="185"/>
      <c r="AA9" s="165"/>
      <c r="AB9" s="165"/>
      <c r="AC9" s="165"/>
    </row>
    <row r="10" spans="1:32" s="158" customFormat="1">
      <c r="A10" s="173" t="s">
        <v>21</v>
      </c>
      <c r="C10" s="173" t="s">
        <v>22</v>
      </c>
      <c r="D10" s="169"/>
      <c r="E10" s="173" t="s">
        <v>23</v>
      </c>
      <c r="F10" s="169"/>
      <c r="G10" s="163" t="s">
        <v>152</v>
      </c>
      <c r="H10" s="169"/>
      <c r="I10" s="163" t="s">
        <v>25</v>
      </c>
      <c r="J10" s="169"/>
      <c r="K10" s="186" t="s">
        <v>14</v>
      </c>
      <c r="L10" s="160"/>
      <c r="M10" s="165" t="s">
        <v>153</v>
      </c>
      <c r="N10" s="164"/>
      <c r="O10" s="172" t="s">
        <v>154</v>
      </c>
      <c r="P10" s="169"/>
      <c r="Q10" s="186" t="s">
        <v>14</v>
      </c>
      <c r="R10" s="160"/>
      <c r="S10" s="165" t="s">
        <v>153</v>
      </c>
      <c r="T10" s="164"/>
      <c r="U10" s="172" t="s">
        <v>154</v>
      </c>
      <c r="V10" s="169"/>
      <c r="W10" s="186" t="s">
        <v>14</v>
      </c>
      <c r="X10" s="160"/>
      <c r="Y10" s="187" t="s">
        <v>31</v>
      </c>
      <c r="Z10" s="160"/>
      <c r="AA10" s="165" t="s">
        <v>155</v>
      </c>
      <c r="AB10" s="164"/>
      <c r="AC10" s="172" t="s">
        <v>31</v>
      </c>
    </row>
    <row r="11" spans="1:32" s="4" customFormat="1">
      <c r="C11" s="1">
        <v>-1</v>
      </c>
      <c r="D11" s="3"/>
      <c r="E11" s="1">
        <f>MIN($C11:D11)-1</f>
        <v>-2</v>
      </c>
      <c r="F11" s="3"/>
      <c r="G11" s="1">
        <f>MIN($C11:F11)-1</f>
        <v>-3</v>
      </c>
      <c r="H11" s="3"/>
      <c r="I11" s="1">
        <f>MIN($C11:H11)-1</f>
        <v>-4</v>
      </c>
      <c r="J11" s="3"/>
      <c r="K11" s="1">
        <f>MIN($C11:J11)-1</f>
        <v>-5</v>
      </c>
      <c r="M11" s="1">
        <f>MIN($C11:L11)-1</f>
        <v>-6</v>
      </c>
      <c r="O11" s="1">
        <f>MIN($C11:N11)-1</f>
        <v>-7</v>
      </c>
      <c r="P11" s="3"/>
      <c r="Q11" s="1">
        <f>MIN($C11:P11)-1</f>
        <v>-8</v>
      </c>
      <c r="S11" s="1">
        <f>MIN($C11:R11)-1</f>
        <v>-9</v>
      </c>
      <c r="U11" s="1">
        <f>MIN($C11:T11)-1</f>
        <v>-10</v>
      </c>
      <c r="V11" s="3"/>
      <c r="W11" s="1">
        <f>MIN($C11:V11)-1</f>
        <v>-11</v>
      </c>
      <c r="Y11" s="1">
        <f>MIN($C11:X11)-1</f>
        <v>-12</v>
      </c>
      <c r="Z11" s="1"/>
      <c r="AA11" s="1">
        <f>MIN($C11:Z11)-1</f>
        <v>-13</v>
      </c>
      <c r="AC11" s="1">
        <f>MIN($C11:AB11)-1</f>
        <v>-14</v>
      </c>
    </row>
    <row r="12" spans="1:32" ht="7.5" customHeight="1">
      <c r="D12" s="114"/>
      <c r="F12" s="114"/>
      <c r="H12" s="114"/>
      <c r="J12" s="114"/>
      <c r="K12" s="114"/>
      <c r="M12" s="114"/>
      <c r="O12" s="114"/>
      <c r="P12" s="114"/>
      <c r="Q12" s="114"/>
      <c r="S12" s="114"/>
      <c r="U12" s="114"/>
      <c r="V12" s="114"/>
      <c r="W12" s="114"/>
      <c r="AA12" s="114"/>
      <c r="AC12" s="114"/>
    </row>
    <row r="13" spans="1:32">
      <c r="C13" s="178" t="s">
        <v>32</v>
      </c>
      <c r="AE13" s="116" t="s">
        <v>33</v>
      </c>
      <c r="AF13" s="117" t="s">
        <v>34</v>
      </c>
    </row>
    <row r="14" spans="1:32">
      <c r="A14" s="110">
        <v>1</v>
      </c>
      <c r="C14" s="109" t="s">
        <v>35</v>
      </c>
      <c r="D14" s="114"/>
      <c r="E14" s="110">
        <v>1</v>
      </c>
      <c r="F14" s="114"/>
      <c r="G14" s="113">
        <v>55659.333333333336</v>
      </c>
      <c r="H14" s="114"/>
      <c r="I14" s="113">
        <v>523106.739</v>
      </c>
      <c r="J14" s="114"/>
      <c r="K14" s="114">
        <v>60147.192347934462</v>
      </c>
      <c r="M14" s="114">
        <f>'Exhibit 2'!AC14</f>
        <v>3834.3719999999998</v>
      </c>
      <c r="O14" s="114">
        <f>K14+M14</f>
        <v>63981.564347934465</v>
      </c>
      <c r="P14" s="114"/>
      <c r="Q14" s="114">
        <v>60147.192347934462</v>
      </c>
      <c r="S14" s="114">
        <f>'Exhibit 2'!U14</f>
        <v>4884.6400000000003</v>
      </c>
      <c r="U14" s="114">
        <f>Q14+S14</f>
        <v>65031.832347934462</v>
      </c>
      <c r="V14" s="114"/>
      <c r="W14" s="114">
        <f>Q14-K14</f>
        <v>0</v>
      </c>
      <c r="Y14" s="115">
        <f>W14/K14</f>
        <v>0</v>
      </c>
      <c r="AA14" s="114">
        <f>U14-O14</f>
        <v>1050.2679999999964</v>
      </c>
      <c r="AB14" s="180"/>
      <c r="AC14" s="115">
        <f>AA14/O14</f>
        <v>1.6415166004516462E-2</v>
      </c>
      <c r="AE14" s="119">
        <f>ROUND(I14/G14*1000/12,0)</f>
        <v>783</v>
      </c>
      <c r="AF14" s="120">
        <f>ROUND(AA14/G14*1000/12,2)</f>
        <v>1.57</v>
      </c>
    </row>
    <row r="15" spans="1:32">
      <c r="A15" s="110">
        <f>MAX($A$14:A14)+1</f>
        <v>2</v>
      </c>
      <c r="C15" s="109" t="s">
        <v>36</v>
      </c>
      <c r="D15" s="114"/>
      <c r="E15" s="110">
        <v>36</v>
      </c>
      <c r="F15" s="114"/>
      <c r="G15" s="113">
        <v>11710.833333333334</v>
      </c>
      <c r="H15" s="114"/>
      <c r="I15" s="113">
        <v>196337.44200000001</v>
      </c>
      <c r="J15" s="114"/>
      <c r="K15" s="114">
        <v>19448.060300837657</v>
      </c>
      <c r="M15" s="114">
        <f>'Exhibit 2'!AC15</f>
        <v>1439.153</v>
      </c>
      <c r="O15" s="114">
        <f>K15+M15</f>
        <v>20887.213300837655</v>
      </c>
      <c r="P15" s="114"/>
      <c r="Q15" s="114">
        <v>19448.060300837657</v>
      </c>
      <c r="S15" s="114">
        <f>'Exhibit 2'!U15</f>
        <v>1833.35</v>
      </c>
      <c r="U15" s="114">
        <f>Q15+S15</f>
        <v>21281.410300837655</v>
      </c>
      <c r="V15" s="114"/>
      <c r="W15" s="114">
        <f t="shared" ref="W15:W17" si="0">Q15-K15</f>
        <v>0</v>
      </c>
      <c r="Y15" s="115">
        <f t="shared" ref="Y15:Y17" si="1">W15/K15</f>
        <v>0</v>
      </c>
      <c r="AA15" s="114">
        <f t="shared" ref="AA15:AA17" si="2">U15-O15</f>
        <v>394.19700000000012</v>
      </c>
      <c r="AB15" s="180"/>
      <c r="AC15" s="115">
        <f t="shared" ref="AC15:AC17" si="3">AA15/O15</f>
        <v>1.8872646835286128E-2</v>
      </c>
      <c r="AE15" s="121">
        <f>ROUND(I15/G15*1000/12,0)</f>
        <v>1397</v>
      </c>
      <c r="AF15" s="122">
        <f>ROUND(AA15/G15*1000/12,2)</f>
        <v>2.81</v>
      </c>
    </row>
    <row r="16" spans="1:32">
      <c r="A16" s="110">
        <f>MAX($A$14:A15)+1</f>
        <v>3</v>
      </c>
      <c r="C16" s="109" t="s">
        <v>37</v>
      </c>
      <c r="D16" s="114"/>
      <c r="E16" s="123"/>
      <c r="F16" s="114"/>
      <c r="G16" s="124"/>
      <c r="H16" s="114"/>
      <c r="I16" s="124"/>
      <c r="J16" s="114"/>
      <c r="K16" s="125">
        <v>3.8219284687482</v>
      </c>
      <c r="M16" s="125"/>
      <c r="O16" s="125">
        <f>K16+M16</f>
        <v>3.8219284687482</v>
      </c>
      <c r="P16" s="114"/>
      <c r="Q16" s="125">
        <v>3.8219284687482</v>
      </c>
      <c r="S16" s="125"/>
      <c r="U16" s="125">
        <f>Q16+S16</f>
        <v>3.8219284687482</v>
      </c>
      <c r="V16" s="114"/>
      <c r="W16" s="125"/>
      <c r="Y16" s="127"/>
      <c r="AA16" s="125"/>
      <c r="AB16" s="180"/>
      <c r="AC16" s="127"/>
      <c r="AE16" s="128"/>
      <c r="AF16" s="128"/>
    </row>
    <row r="17" spans="1:32">
      <c r="A17" s="110">
        <f>MAX($A$14:A16)+1</f>
        <v>4</v>
      </c>
      <c r="C17" s="158" t="s">
        <v>38</v>
      </c>
      <c r="D17" s="114"/>
      <c r="F17" s="114"/>
      <c r="G17" s="113">
        <v>67370.166666666672</v>
      </c>
      <c r="H17" s="114"/>
      <c r="I17" s="113">
        <v>719444.18099999998</v>
      </c>
      <c r="J17" s="114"/>
      <c r="K17" s="114">
        <v>79599.07457724087</v>
      </c>
      <c r="M17" s="114">
        <f>SUM(M14:M16)</f>
        <v>5273.5249999999996</v>
      </c>
      <c r="O17" s="114">
        <f>SUM(O14:O16)</f>
        <v>84872.599577240864</v>
      </c>
      <c r="P17" s="114"/>
      <c r="Q17" s="114">
        <v>79599.07457724087</v>
      </c>
      <c r="S17" s="114">
        <f>SUM(S14:S16)</f>
        <v>6717.99</v>
      </c>
      <c r="U17" s="114">
        <f>SUM(U14:U16)</f>
        <v>86317.064577240861</v>
      </c>
      <c r="V17" s="114"/>
      <c r="W17" s="114">
        <f t="shared" si="0"/>
        <v>0</v>
      </c>
      <c r="Y17" s="115">
        <f t="shared" si="1"/>
        <v>0</v>
      </c>
      <c r="AA17" s="114">
        <f t="shared" si="2"/>
        <v>1444.4649999999965</v>
      </c>
      <c r="AB17" s="180"/>
      <c r="AC17" s="115">
        <f t="shared" si="3"/>
        <v>1.7019214766544503E-2</v>
      </c>
      <c r="AE17" s="129">
        <f>ROUND(I17/G17*1000/12,0)</f>
        <v>890</v>
      </c>
      <c r="AF17" s="130">
        <f>ROUND(AA17/G17*1000/12,2)</f>
        <v>1.79</v>
      </c>
    </row>
    <row r="18" spans="1:32" ht="8.1" customHeight="1">
      <c r="D18" s="114"/>
      <c r="F18" s="114"/>
      <c r="H18" s="114"/>
      <c r="J18" s="114"/>
      <c r="K18" s="114"/>
      <c r="M18" s="114"/>
      <c r="O18" s="114"/>
      <c r="P18" s="114"/>
      <c r="Q18" s="114"/>
      <c r="S18" s="114"/>
      <c r="U18" s="114"/>
      <c r="V18" s="114"/>
      <c r="W18" s="114"/>
      <c r="Y18" s="115"/>
      <c r="AA18" s="114"/>
      <c r="AB18" s="180"/>
      <c r="AC18" s="115"/>
    </row>
    <row r="19" spans="1:32">
      <c r="A19" s="110">
        <f>MAX($A$14:A18)+1</f>
        <v>5</v>
      </c>
      <c r="C19" s="178" t="s">
        <v>39</v>
      </c>
      <c r="D19" s="114"/>
      <c r="F19" s="114"/>
      <c r="H19" s="114"/>
      <c r="J19" s="114"/>
      <c r="K19" s="114"/>
      <c r="M19" s="114"/>
      <c r="O19" s="114"/>
      <c r="P19" s="114"/>
      <c r="Q19" s="114"/>
      <c r="S19" s="114"/>
      <c r="U19" s="114"/>
      <c r="V19" s="114"/>
      <c r="W19" s="114"/>
      <c r="Y19" s="115"/>
      <c r="AA19" s="114"/>
      <c r="AB19" s="180"/>
      <c r="AC19" s="115"/>
    </row>
    <row r="20" spans="1:32">
      <c r="A20" s="110">
        <f>MAX($A$14:A19)+1</f>
        <v>6</v>
      </c>
      <c r="C20" s="109" t="s">
        <v>40</v>
      </c>
      <c r="D20" s="114"/>
      <c r="E20" s="123">
        <v>6</v>
      </c>
      <c r="F20" s="114"/>
      <c r="G20" s="113">
        <v>1158.25</v>
      </c>
      <c r="H20" s="114"/>
      <c r="I20" s="113">
        <v>345854.45299999998</v>
      </c>
      <c r="J20" s="114"/>
      <c r="K20" s="114">
        <v>27087.318525247138</v>
      </c>
      <c r="M20" s="114">
        <f>'Exhibit 2'!AC20</f>
        <v>2529.5430000000001</v>
      </c>
      <c r="O20" s="114">
        <f t="shared" ref="O20:O21" si="4">K20+M20</f>
        <v>29616.861525247139</v>
      </c>
      <c r="P20" s="114"/>
      <c r="Q20" s="114">
        <v>27087.318525247138</v>
      </c>
      <c r="S20" s="114">
        <f>'Exhibit 2'!U20</f>
        <v>3222.2429999999999</v>
      </c>
      <c r="U20" s="114">
        <f t="shared" ref="U20:U21" si="5">Q20+S20</f>
        <v>30309.561525247136</v>
      </c>
      <c r="V20" s="114"/>
      <c r="W20" s="114">
        <f t="shared" ref="W20:W31" si="6">Q20-K20</f>
        <v>0</v>
      </c>
      <c r="Y20" s="115">
        <f t="shared" ref="Y20:Y33" si="7">W20/K20</f>
        <v>0</v>
      </c>
      <c r="AA20" s="114">
        <f t="shared" ref="AA20:AA31" si="8">U20-O20</f>
        <v>692.69999999999709</v>
      </c>
      <c r="AB20" s="180"/>
      <c r="AC20" s="115">
        <f t="shared" ref="AC20:AC33" si="9">AA20/O20</f>
        <v>2.3388703742612944E-2</v>
      </c>
    </row>
    <row r="21" spans="1:32">
      <c r="A21" s="110">
        <f>MAX($A$14:A20)+1</f>
        <v>7</v>
      </c>
      <c r="C21" s="109" t="s">
        <v>41</v>
      </c>
      <c r="D21" s="114"/>
      <c r="E21" s="123" t="s">
        <v>42</v>
      </c>
      <c r="F21" s="114"/>
      <c r="G21" s="113">
        <v>206.91666666666666</v>
      </c>
      <c r="H21" s="114"/>
      <c r="I21" s="113">
        <v>26805.025000000001</v>
      </c>
      <c r="J21" s="114"/>
      <c r="K21" s="114">
        <v>2325.7335300189002</v>
      </c>
      <c r="M21" s="114">
        <f>'Exhibit 2'!AC21</f>
        <v>196.46100000000001</v>
      </c>
      <c r="O21" s="114">
        <f t="shared" si="4"/>
        <v>2522.1945300189</v>
      </c>
      <c r="P21" s="114"/>
      <c r="Q21" s="114">
        <v>2325.7335300189002</v>
      </c>
      <c r="S21" s="114">
        <f>'Exhibit 2'!U21</f>
        <v>250.273</v>
      </c>
      <c r="U21" s="114">
        <f t="shared" si="5"/>
        <v>2576.0065300189003</v>
      </c>
      <c r="V21" s="114"/>
      <c r="W21" s="114">
        <f t="shared" si="6"/>
        <v>0</v>
      </c>
      <c r="Y21" s="115">
        <f t="shared" si="7"/>
        <v>0</v>
      </c>
      <c r="AA21" s="114">
        <f t="shared" si="8"/>
        <v>53.812000000000353</v>
      </c>
      <c r="AB21" s="180"/>
      <c r="AC21" s="115">
        <f t="shared" si="9"/>
        <v>2.1335388432389121E-2</v>
      </c>
    </row>
    <row r="22" spans="1:32" s="221" customFormat="1">
      <c r="A22" s="220">
        <f>MAX($A$14:A21)+1</f>
        <v>8</v>
      </c>
      <c r="C22" s="221" t="s">
        <v>43</v>
      </c>
      <c r="D22" s="222"/>
      <c r="E22" s="223"/>
      <c r="F22" s="222"/>
      <c r="G22" s="224">
        <v>1365.1666666666667</v>
      </c>
      <c r="H22" s="222"/>
      <c r="I22" s="224">
        <v>372659.478</v>
      </c>
      <c r="J22" s="222"/>
      <c r="K22" s="222">
        <v>29413.052055266038</v>
      </c>
      <c r="M22" s="222">
        <f>SUM(M20:M21)</f>
        <v>2726.0039999999999</v>
      </c>
      <c r="O22" s="222">
        <f>SUM(O20:O21)</f>
        <v>32139.056055266039</v>
      </c>
      <c r="P22" s="222"/>
      <c r="Q22" s="222">
        <v>29413.052055266038</v>
      </c>
      <c r="S22" s="222">
        <f>SUM(S20:S21)</f>
        <v>3472.5160000000001</v>
      </c>
      <c r="U22" s="222">
        <f>SUM(U20:U21)</f>
        <v>32885.568055266034</v>
      </c>
      <c r="V22" s="222"/>
      <c r="W22" s="222">
        <f t="shared" si="6"/>
        <v>0</v>
      </c>
      <c r="Y22" s="226">
        <f t="shared" si="7"/>
        <v>0</v>
      </c>
      <c r="AA22" s="222">
        <f t="shared" si="8"/>
        <v>746.51199999999517</v>
      </c>
      <c r="AB22" s="228"/>
      <c r="AC22" s="226">
        <f t="shared" si="9"/>
        <v>2.3227564578010621E-2</v>
      </c>
    </row>
    <row r="23" spans="1:32" ht="17.850000000000001" customHeight="1">
      <c r="A23" s="110">
        <f>MAX($A$14:A22)+1</f>
        <v>9</v>
      </c>
      <c r="C23" s="109" t="s">
        <v>44</v>
      </c>
      <c r="D23" s="114"/>
      <c r="E23" s="110">
        <v>9</v>
      </c>
      <c r="F23" s="114"/>
      <c r="G23" s="113">
        <v>17.416666666666668</v>
      </c>
      <c r="H23" s="114"/>
      <c r="I23" s="113">
        <v>222698.98699999999</v>
      </c>
      <c r="J23" s="114"/>
      <c r="K23" s="114">
        <v>13225.01006618371</v>
      </c>
      <c r="M23" s="114">
        <f>'Exhibit 2'!AC23</f>
        <v>1549.9849999999999</v>
      </c>
      <c r="O23" s="114">
        <f t="shared" ref="O23:O26" si="10">K23+M23</f>
        <v>14774.99506618371</v>
      </c>
      <c r="P23" s="114"/>
      <c r="Q23" s="114">
        <v>13225.01006618371</v>
      </c>
      <c r="S23" s="114">
        <f>'Exhibit 2'!U23</f>
        <v>1973.5309999999999</v>
      </c>
      <c r="U23" s="114">
        <f t="shared" ref="U23:U26" si="11">Q23+S23</f>
        <v>15198.541066183709</v>
      </c>
      <c r="V23" s="114"/>
      <c r="W23" s="114">
        <f t="shared" si="6"/>
        <v>0</v>
      </c>
      <c r="Y23" s="115">
        <f t="shared" si="7"/>
        <v>0</v>
      </c>
      <c r="AA23" s="114">
        <f t="shared" si="8"/>
        <v>423.54599999999846</v>
      </c>
      <c r="AB23" s="180"/>
      <c r="AC23" s="115">
        <f t="shared" si="9"/>
        <v>2.8666405511660029E-2</v>
      </c>
    </row>
    <row r="24" spans="1:32">
      <c r="A24" s="110">
        <f>MAX($A$14:A23)+1</f>
        <v>10</v>
      </c>
      <c r="C24" s="109" t="s">
        <v>45</v>
      </c>
      <c r="D24" s="114"/>
      <c r="E24" s="123" t="s">
        <v>46</v>
      </c>
      <c r="F24" s="114"/>
      <c r="G24" s="113">
        <v>5971</v>
      </c>
      <c r="H24" s="114"/>
      <c r="I24" s="113">
        <v>615885.79500000004</v>
      </c>
      <c r="J24" s="114"/>
      <c r="K24" s="114">
        <v>55363.399277152581</v>
      </c>
      <c r="M24" s="114">
        <f>'Exhibit 2'!AC24</f>
        <v>4514.4430000000002</v>
      </c>
      <c r="O24" s="114">
        <f t="shared" si="10"/>
        <v>59877.84227715258</v>
      </c>
      <c r="P24" s="114"/>
      <c r="Q24" s="114">
        <v>55363.399277152581</v>
      </c>
      <c r="S24" s="114">
        <f>'Exhibit 2'!U24</f>
        <v>5750.9880000000003</v>
      </c>
      <c r="U24" s="114">
        <f t="shared" si="11"/>
        <v>61114.387277152578</v>
      </c>
      <c r="V24" s="114"/>
      <c r="W24" s="114">
        <f t="shared" si="6"/>
        <v>0</v>
      </c>
      <c r="Y24" s="115">
        <f t="shared" si="7"/>
        <v>0</v>
      </c>
      <c r="AA24" s="114">
        <f t="shared" si="8"/>
        <v>1236.5449999999983</v>
      </c>
      <c r="AB24" s="180"/>
      <c r="AC24" s="115">
        <f t="shared" si="9"/>
        <v>2.0651128246680712E-2</v>
      </c>
    </row>
    <row r="25" spans="1:32" ht="16.5" customHeight="1">
      <c r="A25" s="110">
        <f>MAX($A$14:A24)+1</f>
        <v>11</v>
      </c>
      <c r="C25" s="109" t="s">
        <v>47</v>
      </c>
      <c r="D25" s="114"/>
      <c r="E25" s="123">
        <v>23</v>
      </c>
      <c r="F25" s="114"/>
      <c r="G25" s="113">
        <v>7733.5833333333339</v>
      </c>
      <c r="H25" s="114"/>
      <c r="I25" s="113">
        <v>183015.61900000001</v>
      </c>
      <c r="J25" s="114"/>
      <c r="K25" s="114">
        <v>17375.11238295279</v>
      </c>
      <c r="M25" s="114">
        <f>'Exhibit 2'!AC25</f>
        <v>1341.4590000000001</v>
      </c>
      <c r="O25" s="114">
        <f t="shared" si="10"/>
        <v>18716.571382952789</v>
      </c>
      <c r="P25" s="114"/>
      <c r="Q25" s="114">
        <v>17375.11238295279</v>
      </c>
      <c r="S25" s="114">
        <f>'Exhibit 2'!U25</f>
        <v>1708.894</v>
      </c>
      <c r="U25" s="114">
        <f t="shared" si="11"/>
        <v>19084.00638295279</v>
      </c>
      <c r="V25" s="114"/>
      <c r="W25" s="114">
        <f t="shared" si="6"/>
        <v>0</v>
      </c>
      <c r="Y25" s="115">
        <f t="shared" si="7"/>
        <v>0</v>
      </c>
      <c r="AA25" s="114">
        <f t="shared" si="8"/>
        <v>367.43500000000131</v>
      </c>
      <c r="AB25" s="180"/>
      <c r="AC25" s="115">
        <f t="shared" si="9"/>
        <v>1.9631533601002598E-2</v>
      </c>
    </row>
    <row r="26" spans="1:32">
      <c r="A26" s="110">
        <f>MAX($A$14:A25)+1</f>
        <v>12</v>
      </c>
      <c r="C26" s="109" t="s">
        <v>48</v>
      </c>
      <c r="D26" s="114"/>
      <c r="E26" s="123" t="s">
        <v>49</v>
      </c>
      <c r="F26" s="114"/>
      <c r="G26" s="113">
        <v>2576.0833333333335</v>
      </c>
      <c r="H26" s="114"/>
      <c r="I26" s="113">
        <v>39710.487999999998</v>
      </c>
      <c r="J26" s="114"/>
      <c r="K26" s="114">
        <v>3922.49540709751</v>
      </c>
      <c r="M26" s="114">
        <f>'Exhibit 2'!AC26</f>
        <v>290.93700000000001</v>
      </c>
      <c r="O26" s="114">
        <f t="shared" si="10"/>
        <v>4213.4324070975099</v>
      </c>
      <c r="P26" s="114"/>
      <c r="Q26" s="114">
        <v>3922.49540709751</v>
      </c>
      <c r="S26" s="114">
        <f>'Exhibit 2'!U26</f>
        <v>370.62299999999999</v>
      </c>
      <c r="U26" s="114">
        <f t="shared" si="11"/>
        <v>4293.1184070975096</v>
      </c>
      <c r="V26" s="114"/>
      <c r="W26" s="114">
        <f t="shared" si="6"/>
        <v>0</v>
      </c>
      <c r="Y26" s="115">
        <f t="shared" si="7"/>
        <v>0</v>
      </c>
      <c r="AA26" s="114">
        <f t="shared" si="8"/>
        <v>79.685999999999694</v>
      </c>
      <c r="AB26" s="180"/>
      <c r="AC26" s="115">
        <f t="shared" si="9"/>
        <v>1.8912371743704481E-2</v>
      </c>
    </row>
    <row r="27" spans="1:32" s="221" customFormat="1">
      <c r="A27" s="220">
        <f>MAX($A$14:A26)+1</f>
        <v>13</v>
      </c>
      <c r="C27" s="221" t="s">
        <v>50</v>
      </c>
      <c r="D27" s="222"/>
      <c r="E27" s="223"/>
      <c r="F27" s="222"/>
      <c r="G27" s="224">
        <v>10309.666666666668</v>
      </c>
      <c r="H27" s="222"/>
      <c r="I27" s="224">
        <v>222726.10700000002</v>
      </c>
      <c r="J27" s="222"/>
      <c r="K27" s="224">
        <v>21297.607790050301</v>
      </c>
      <c r="M27" s="224">
        <f>SUM(M25:M26)</f>
        <v>1632.3960000000002</v>
      </c>
      <c r="O27" s="224">
        <f>SUM(O25:O26)</f>
        <v>22930.003790050298</v>
      </c>
      <c r="P27" s="222"/>
      <c r="Q27" s="224">
        <v>21297.607790050301</v>
      </c>
      <c r="S27" s="224">
        <f>SUM(S25:S26)</f>
        <v>2079.5169999999998</v>
      </c>
      <c r="U27" s="224">
        <f>SUM(U25:U26)</f>
        <v>23377.1247900503</v>
      </c>
      <c r="V27" s="222"/>
      <c r="W27" s="224">
        <f>SUM(W25:W26)</f>
        <v>0</v>
      </c>
      <c r="Y27" s="226">
        <f t="shared" si="7"/>
        <v>0</v>
      </c>
      <c r="AA27" s="224">
        <f>SUM(AA25:AA26)</f>
        <v>447.121000000001</v>
      </c>
      <c r="AB27" s="228"/>
      <c r="AC27" s="226">
        <f t="shared" si="9"/>
        <v>1.9499386223128932E-2</v>
      </c>
    </row>
    <row r="28" spans="1:32" ht="17.850000000000001" customHeight="1">
      <c r="A28" s="110">
        <f>MAX($A$14:A27)+1</f>
        <v>14</v>
      </c>
      <c r="C28" s="109" t="s">
        <v>51</v>
      </c>
      <c r="D28" s="114"/>
      <c r="E28" s="110">
        <v>35</v>
      </c>
      <c r="F28" s="114"/>
      <c r="G28" s="113">
        <v>2</v>
      </c>
      <c r="H28" s="114"/>
      <c r="I28" s="113">
        <v>277.92500000000001</v>
      </c>
      <c r="J28" s="114"/>
      <c r="K28" s="114">
        <v>22.810853126520001</v>
      </c>
      <c r="M28" s="114">
        <f>'Exhibit 2'!AC28</f>
        <v>2.0369999999999999</v>
      </c>
      <c r="O28" s="114">
        <f t="shared" ref="O28:O32" si="12">K28+M28</f>
        <v>24.84785312652</v>
      </c>
      <c r="P28" s="114"/>
      <c r="Q28" s="114">
        <v>22.810853126520001</v>
      </c>
      <c r="S28" s="114">
        <f>'Exhibit 2'!U28</f>
        <v>2.5950000000000002</v>
      </c>
      <c r="U28" s="114">
        <f t="shared" ref="U28:U32" si="13">Q28+S28</f>
        <v>25.40585312652</v>
      </c>
      <c r="V28" s="114"/>
      <c r="W28" s="114">
        <f t="shared" si="6"/>
        <v>0</v>
      </c>
      <c r="Y28" s="115">
        <f t="shared" si="7"/>
        <v>0</v>
      </c>
      <c r="AA28" s="114">
        <f t="shared" si="8"/>
        <v>0.55799999999999983</v>
      </c>
      <c r="AB28" s="180"/>
      <c r="AC28" s="115">
        <f t="shared" si="9"/>
        <v>2.2456668475895367E-2</v>
      </c>
    </row>
    <row r="29" spans="1:32" ht="17.850000000000001" customHeight="1">
      <c r="A29" s="110">
        <f>MAX($A$14:A28)+1</f>
        <v>15</v>
      </c>
      <c r="C29" s="109" t="s">
        <v>52</v>
      </c>
      <c r="D29" s="114"/>
      <c r="E29" s="110" t="s">
        <v>53</v>
      </c>
      <c r="F29" s="114"/>
      <c r="G29" s="113">
        <v>0</v>
      </c>
      <c r="H29" s="114"/>
      <c r="I29" s="113">
        <v>0</v>
      </c>
      <c r="J29" s="114"/>
      <c r="K29" s="114">
        <v>0</v>
      </c>
      <c r="M29" s="114">
        <f>'Exhibit 2'!AC29</f>
        <v>0</v>
      </c>
      <c r="O29" s="114">
        <f t="shared" ref="O29" si="14">K29+M29</f>
        <v>0</v>
      </c>
      <c r="P29" s="114"/>
      <c r="Q29" s="114">
        <v>0</v>
      </c>
      <c r="S29" s="114">
        <f>'Exhibit 2'!U29</f>
        <v>0</v>
      </c>
      <c r="U29" s="114">
        <f t="shared" ref="U29" si="15">Q29+S29</f>
        <v>0</v>
      </c>
      <c r="V29" s="114"/>
      <c r="W29" s="114">
        <f t="shared" ref="W29" si="16">Q29-K29</f>
        <v>0</v>
      </c>
      <c r="Y29" s="115"/>
      <c r="AA29" s="114"/>
      <c r="AB29" s="180"/>
      <c r="AC29" s="115"/>
    </row>
    <row r="30" spans="1:32" s="221" customFormat="1" ht="17.850000000000001" customHeight="1">
      <c r="A30" s="220">
        <f>MAX($A$14:A29)+1</f>
        <v>16</v>
      </c>
      <c r="C30" s="221" t="s">
        <v>54</v>
      </c>
      <c r="D30" s="222"/>
      <c r="E30" s="223"/>
      <c r="F30" s="222"/>
      <c r="G30" s="224">
        <v>2</v>
      </c>
      <c r="H30" s="222"/>
      <c r="I30" s="224">
        <v>277.92500000000001</v>
      </c>
      <c r="J30" s="222"/>
      <c r="K30" s="224">
        <v>22.810853126520001</v>
      </c>
      <c r="M30" s="224">
        <f>SUM(M28:M29)</f>
        <v>2.0369999999999999</v>
      </c>
      <c r="O30" s="224">
        <f>SUM(O28:O29)</f>
        <v>24.84785312652</v>
      </c>
      <c r="P30" s="222"/>
      <c r="Q30" s="224">
        <v>22.810853126520001</v>
      </c>
      <c r="S30" s="224">
        <f>SUM(S28:S29)</f>
        <v>2.5950000000000002</v>
      </c>
      <c r="U30" s="224">
        <f>SUM(U28:U29)</f>
        <v>25.40585312652</v>
      </c>
      <c r="V30" s="222"/>
      <c r="W30" s="224">
        <f>SUM(W28:W29)</f>
        <v>0</v>
      </c>
      <c r="Y30" s="226">
        <f t="shared" ref="Y30" si="17">W30/K30</f>
        <v>0</v>
      </c>
      <c r="AA30" s="224">
        <f>SUM(AA28:AA29)</f>
        <v>0.55799999999999983</v>
      </c>
      <c r="AB30" s="228"/>
      <c r="AC30" s="226">
        <f t="shared" ref="AC30" si="18">AA30/O30</f>
        <v>2.2456668475895367E-2</v>
      </c>
    </row>
    <row r="31" spans="1:32">
      <c r="A31" s="110">
        <f>MAX($A$14:A30)+1</f>
        <v>17</v>
      </c>
      <c r="C31" s="109" t="s">
        <v>55</v>
      </c>
      <c r="D31" s="114"/>
      <c r="E31" s="110">
        <v>400</v>
      </c>
      <c r="F31" s="114"/>
      <c r="G31" s="113">
        <v>1</v>
      </c>
      <c r="H31" s="114"/>
      <c r="I31" s="113">
        <v>1369715.7819999999</v>
      </c>
      <c r="J31" s="114"/>
      <c r="K31" s="114">
        <v>79465.413</v>
      </c>
      <c r="M31" s="114">
        <f>'Exhibit 2'!AC31</f>
        <v>9588.01</v>
      </c>
      <c r="O31" s="114">
        <f>K31+M31</f>
        <v>89053.422999999995</v>
      </c>
      <c r="P31" s="114"/>
      <c r="Q31" s="114">
        <v>79465.413</v>
      </c>
      <c r="S31" s="114">
        <f>'Exhibit 2'!U31</f>
        <v>12217.466</v>
      </c>
      <c r="U31" s="114">
        <f t="shared" si="13"/>
        <v>91682.879000000001</v>
      </c>
      <c r="V31" s="114"/>
      <c r="W31" s="114">
        <f t="shared" si="6"/>
        <v>0</v>
      </c>
      <c r="Y31" s="115">
        <f t="shared" si="7"/>
        <v>0</v>
      </c>
      <c r="AA31" s="114">
        <f t="shared" si="8"/>
        <v>2629.4560000000056</v>
      </c>
      <c r="AB31" s="180"/>
      <c r="AC31" s="115">
        <f t="shared" si="9"/>
        <v>2.9526725772236802E-2</v>
      </c>
    </row>
    <row r="32" spans="1:32">
      <c r="A32" s="110">
        <f>MAX($A$14:A31)+1</f>
        <v>18</v>
      </c>
      <c r="C32" s="109" t="s">
        <v>37</v>
      </c>
      <c r="D32" s="114"/>
      <c r="E32" s="123"/>
      <c r="F32" s="114"/>
      <c r="G32" s="124"/>
      <c r="H32" s="114"/>
      <c r="I32" s="124"/>
      <c r="J32" s="114"/>
      <c r="K32" s="125">
        <v>601.6875616318747</v>
      </c>
      <c r="M32" s="125"/>
      <c r="O32" s="125">
        <f t="shared" si="12"/>
        <v>601.6875616318747</v>
      </c>
      <c r="P32" s="114"/>
      <c r="Q32" s="125">
        <v>601.6875616318747</v>
      </c>
      <c r="S32" s="125"/>
      <c r="U32" s="125">
        <f t="shared" si="13"/>
        <v>601.6875616318747</v>
      </c>
      <c r="V32" s="114"/>
      <c r="W32" s="125"/>
      <c r="Y32" s="127"/>
      <c r="AA32" s="125"/>
      <c r="AB32" s="180"/>
      <c r="AC32" s="127"/>
    </row>
    <row r="33" spans="1:29">
      <c r="A33" s="110">
        <f>MAX($A$14:A32)+1</f>
        <v>19</v>
      </c>
      <c r="C33" s="158" t="s">
        <v>56</v>
      </c>
      <c r="D33" s="114"/>
      <c r="F33" s="114"/>
      <c r="G33" s="113">
        <v>17666.25</v>
      </c>
      <c r="H33" s="113"/>
      <c r="I33" s="113">
        <v>2803964.074</v>
      </c>
      <c r="J33" s="113"/>
      <c r="K33" s="114">
        <v>199388.98060341101</v>
      </c>
      <c r="M33" s="114">
        <f>SUM(M20:M21,M23:M23,M24:M26,M28:M29,M31:M32)</f>
        <v>20012.875</v>
      </c>
      <c r="O33" s="114">
        <f>SUM(O20:O21,O23:O23,O24:O26,O28:O29,O31:O32)</f>
        <v>219401.85560341101</v>
      </c>
      <c r="P33" s="113"/>
      <c r="Q33" s="114">
        <v>199388.98060341101</v>
      </c>
      <c r="S33" s="114">
        <f>SUM(S20:S21,S23:S23,S24:S26,S28:S29,S31:S32)</f>
        <v>25496.612999999998</v>
      </c>
      <c r="U33" s="114">
        <f>SUM(U20:U21,U23:U23,U24:U26,U28:U29,U31:U32)</f>
        <v>224885.59360341102</v>
      </c>
      <c r="V33" s="113"/>
      <c r="W33" s="114">
        <f>SUM(W20:W21,W23:W23,W24:W26,W28:W29,W31:W32)</f>
        <v>0</v>
      </c>
      <c r="Y33" s="115">
        <f t="shared" si="7"/>
        <v>0</v>
      </c>
      <c r="AA33" s="114">
        <f>SUM(AA20:AA21,AA23:AA23,AA24:AA26,AA28:AA29,AA31:AA32)</f>
        <v>5483.7380000000012</v>
      </c>
      <c r="AB33" s="180"/>
      <c r="AC33" s="115">
        <f t="shared" si="9"/>
        <v>2.4994036558707876E-2</v>
      </c>
    </row>
    <row r="34" spans="1:29" ht="8.1" customHeight="1">
      <c r="D34" s="114"/>
      <c r="F34" s="114"/>
      <c r="H34" s="114"/>
      <c r="J34" s="114"/>
      <c r="K34" s="114"/>
      <c r="M34" s="114"/>
      <c r="O34" s="114"/>
      <c r="P34" s="114"/>
      <c r="Q34" s="114"/>
      <c r="S34" s="114"/>
      <c r="U34" s="114"/>
      <c r="V34" s="114"/>
      <c r="W34" s="114"/>
      <c r="Y34" s="115"/>
      <c r="AA34" s="114"/>
      <c r="AB34" s="180"/>
      <c r="AC34" s="115"/>
    </row>
    <row r="35" spans="1:29">
      <c r="A35" s="110">
        <f>MAX($A$14:A34)+1</f>
        <v>20</v>
      </c>
      <c r="C35" s="178" t="s">
        <v>57</v>
      </c>
      <c r="D35" s="114"/>
      <c r="F35" s="114"/>
      <c r="H35" s="114"/>
      <c r="J35" s="114"/>
      <c r="K35" s="114"/>
      <c r="M35" s="114"/>
      <c r="O35" s="114"/>
      <c r="P35" s="114"/>
      <c r="Q35" s="114"/>
      <c r="S35" s="114"/>
      <c r="U35" s="114"/>
      <c r="V35" s="114"/>
      <c r="W35" s="114"/>
      <c r="Y35" s="115"/>
      <c r="AA35" s="114"/>
      <c r="AB35" s="180"/>
      <c r="AC35" s="115"/>
    </row>
    <row r="36" spans="1:29">
      <c r="A36" s="110">
        <f>MAX($A$14:A35)+1</f>
        <v>21</v>
      </c>
      <c r="C36" s="109" t="s">
        <v>58</v>
      </c>
      <c r="D36" s="114"/>
      <c r="E36" s="110">
        <v>7</v>
      </c>
      <c r="F36" s="114"/>
      <c r="G36" s="113">
        <v>188</v>
      </c>
      <c r="H36" s="114"/>
      <c r="I36" s="113">
        <v>273.56599999999997</v>
      </c>
      <c r="J36" s="114"/>
      <c r="K36" s="114">
        <v>49.518940811808122</v>
      </c>
      <c r="M36" s="114">
        <f>'Exhibit 2'!AC36</f>
        <v>2.0049999999999999</v>
      </c>
      <c r="O36" s="114">
        <f t="shared" ref="O36:O40" si="19">K36+M36</f>
        <v>51.523940811808124</v>
      </c>
      <c r="P36" s="114"/>
      <c r="Q36" s="114">
        <v>49.518940811808122</v>
      </c>
      <c r="S36" s="114">
        <f>'Exhibit 2'!U36</f>
        <v>2.5539999999999998</v>
      </c>
      <c r="U36" s="114">
        <f t="shared" ref="U36:U40" si="20">Q36+S36</f>
        <v>52.072940811808124</v>
      </c>
      <c r="V36" s="114"/>
      <c r="W36" s="114">
        <f t="shared" ref="W36:W41" si="21">Q36-K36</f>
        <v>0</v>
      </c>
      <c r="Y36" s="115">
        <f t="shared" ref="Y36:Y41" si="22">W36/K36</f>
        <v>0</v>
      </c>
      <c r="AA36" s="114">
        <f t="shared" ref="AA36:AA41" si="23">U36-O36</f>
        <v>0.54899999999999949</v>
      </c>
      <c r="AB36" s="180"/>
      <c r="AC36" s="115">
        <f t="shared" ref="AC36:AC41" si="24">AA36/O36</f>
        <v>1.0655240871524739E-2</v>
      </c>
    </row>
    <row r="37" spans="1:29">
      <c r="A37" s="110">
        <f>MAX($A$14:A36)+1</f>
        <v>22</v>
      </c>
      <c r="C37" s="109" t="s">
        <v>59</v>
      </c>
      <c r="D37" s="114"/>
      <c r="E37" s="123" t="s">
        <v>60</v>
      </c>
      <c r="F37" s="114"/>
      <c r="G37" s="113">
        <v>132</v>
      </c>
      <c r="H37" s="114"/>
      <c r="I37" s="113">
        <v>105.72499999999999</v>
      </c>
      <c r="J37" s="114"/>
      <c r="K37" s="114">
        <v>24.165279999999999</v>
      </c>
      <c r="M37" s="114">
        <f>'Exhibit 2'!AC37</f>
        <v>0.77500000000000002</v>
      </c>
      <c r="O37" s="114">
        <f t="shared" si="19"/>
        <v>24.940279999999998</v>
      </c>
      <c r="P37" s="114"/>
      <c r="Q37" s="114">
        <v>24.165279999999999</v>
      </c>
      <c r="S37" s="114">
        <f>'Exhibit 2'!U37</f>
        <v>0.98699999999999999</v>
      </c>
      <c r="U37" s="114">
        <f t="shared" si="20"/>
        <v>25.152279999999998</v>
      </c>
      <c r="V37" s="114"/>
      <c r="W37" s="114">
        <f t="shared" si="21"/>
        <v>0</v>
      </c>
      <c r="Y37" s="115">
        <f t="shared" si="22"/>
        <v>0</v>
      </c>
      <c r="AA37" s="114">
        <f t="shared" si="23"/>
        <v>0.21199999999999974</v>
      </c>
      <c r="AB37" s="180"/>
      <c r="AC37" s="115">
        <f t="shared" si="24"/>
        <v>8.500305529849695E-3</v>
      </c>
    </row>
    <row r="38" spans="1:29">
      <c r="A38" s="110">
        <f>MAX($A$14:A37)+1</f>
        <v>23</v>
      </c>
      <c r="C38" s="109" t="s">
        <v>61</v>
      </c>
      <c r="D38" s="114"/>
      <c r="E38" s="110">
        <v>11</v>
      </c>
      <c r="F38" s="114"/>
      <c r="G38" s="113">
        <v>57</v>
      </c>
      <c r="H38" s="114"/>
      <c r="I38" s="113">
        <v>153.71600000000001</v>
      </c>
      <c r="J38" s="114"/>
      <c r="K38" s="114">
        <v>61.185319999999997</v>
      </c>
      <c r="M38" s="114">
        <f>'Exhibit 2'!AC38</f>
        <v>1.127</v>
      </c>
      <c r="O38" s="114">
        <f t="shared" si="19"/>
        <v>62.31232</v>
      </c>
      <c r="P38" s="114"/>
      <c r="Q38" s="114">
        <v>61.185319999999997</v>
      </c>
      <c r="S38" s="114">
        <f>'Exhibit 2'!U38</f>
        <v>1.4350000000000001</v>
      </c>
      <c r="U38" s="114">
        <f t="shared" si="20"/>
        <v>62.62032</v>
      </c>
      <c r="V38" s="114"/>
      <c r="W38" s="114">
        <f t="shared" si="21"/>
        <v>0</v>
      </c>
      <c r="Y38" s="115">
        <f t="shared" si="22"/>
        <v>0</v>
      </c>
      <c r="AA38" s="114">
        <f t="shared" si="23"/>
        <v>0.30799999999999983</v>
      </c>
      <c r="AB38" s="180"/>
      <c r="AC38" s="115">
        <f t="shared" si="24"/>
        <v>4.9428427636781912E-3</v>
      </c>
    </row>
    <row r="39" spans="1:29">
      <c r="A39" s="110">
        <f>MAX($A$14:A38)+1</f>
        <v>24</v>
      </c>
      <c r="C39" s="109" t="s">
        <v>62</v>
      </c>
      <c r="D39" s="114"/>
      <c r="E39" s="110">
        <v>12</v>
      </c>
      <c r="F39" s="114"/>
      <c r="G39" s="113">
        <v>256</v>
      </c>
      <c r="H39" s="114"/>
      <c r="I39" s="113">
        <v>2417.4490000000001</v>
      </c>
      <c r="J39" s="114"/>
      <c r="K39" s="114">
        <v>368.209810312</v>
      </c>
      <c r="M39" s="114">
        <f>'Exhibit 2'!AC39</f>
        <v>17.72</v>
      </c>
      <c r="O39" s="114">
        <f t="shared" si="19"/>
        <v>385.92981031199997</v>
      </c>
      <c r="P39" s="114"/>
      <c r="Q39" s="114">
        <v>368.209810312</v>
      </c>
      <c r="S39" s="114">
        <f>'Exhibit 2'!U39</f>
        <v>22.574000000000002</v>
      </c>
      <c r="U39" s="114">
        <f t="shared" si="20"/>
        <v>390.78381031200001</v>
      </c>
      <c r="V39" s="114"/>
      <c r="W39" s="114">
        <f t="shared" si="21"/>
        <v>0</v>
      </c>
      <c r="Y39" s="115">
        <f t="shared" si="22"/>
        <v>0</v>
      </c>
      <c r="AA39" s="114">
        <f t="shared" si="23"/>
        <v>4.8540000000000418</v>
      </c>
      <c r="AB39" s="180"/>
      <c r="AC39" s="115">
        <f t="shared" si="24"/>
        <v>1.2577416593125803E-2</v>
      </c>
    </row>
    <row r="40" spans="1:29">
      <c r="A40" s="110">
        <f>MAX($A$14:A39)+1</f>
        <v>25</v>
      </c>
      <c r="C40" s="109" t="s">
        <v>37</v>
      </c>
      <c r="D40" s="114"/>
      <c r="E40" s="123"/>
      <c r="F40" s="114"/>
      <c r="G40" s="124"/>
      <c r="H40" s="114"/>
      <c r="I40" s="124"/>
      <c r="J40" s="114"/>
      <c r="K40" s="125">
        <v>0</v>
      </c>
      <c r="M40" s="125"/>
      <c r="O40" s="125">
        <f t="shared" si="19"/>
        <v>0</v>
      </c>
      <c r="P40" s="114"/>
      <c r="Q40" s="125">
        <v>0</v>
      </c>
      <c r="S40" s="125"/>
      <c r="U40" s="125">
        <f t="shared" si="20"/>
        <v>0</v>
      </c>
      <c r="V40" s="114"/>
      <c r="W40" s="125"/>
      <c r="Y40" s="127"/>
      <c r="AA40" s="125"/>
      <c r="AB40" s="180"/>
      <c r="AC40" s="127"/>
    </row>
    <row r="41" spans="1:29">
      <c r="A41" s="110">
        <f>MAX($A$14:A40)+1</f>
        <v>26</v>
      </c>
      <c r="C41" s="158" t="s">
        <v>63</v>
      </c>
      <c r="D41" s="114"/>
      <c r="F41" s="114"/>
      <c r="G41" s="113">
        <v>633</v>
      </c>
      <c r="H41" s="113"/>
      <c r="I41" s="113">
        <v>2950.4560000000001</v>
      </c>
      <c r="J41" s="113"/>
      <c r="K41" s="114">
        <v>503.07935112380812</v>
      </c>
      <c r="M41" s="114">
        <f>SUM(M36:M40)</f>
        <v>21.626999999999999</v>
      </c>
      <c r="O41" s="114">
        <f>SUM(O36:O40)</f>
        <v>524.70635112380808</v>
      </c>
      <c r="P41" s="114"/>
      <c r="Q41" s="114">
        <v>503.07935112380812</v>
      </c>
      <c r="S41" s="114">
        <f>SUM(S36:S40)</f>
        <v>27.55</v>
      </c>
      <c r="U41" s="114">
        <f>SUM(U36:U40)</f>
        <v>530.62935112380819</v>
      </c>
      <c r="V41" s="114"/>
      <c r="W41" s="114">
        <f t="shared" si="21"/>
        <v>0</v>
      </c>
      <c r="Y41" s="115">
        <f t="shared" si="22"/>
        <v>0</v>
      </c>
      <c r="AA41" s="114">
        <f t="shared" si="23"/>
        <v>5.9230000000001155</v>
      </c>
      <c r="AB41" s="180"/>
      <c r="AC41" s="115">
        <f t="shared" si="24"/>
        <v>1.1288218614686717E-2</v>
      </c>
    </row>
    <row r="42" spans="1:29" ht="7.5" customHeight="1">
      <c r="A42" s="110"/>
      <c r="D42" s="114"/>
      <c r="F42" s="114"/>
      <c r="H42" s="114"/>
      <c r="J42" s="114"/>
      <c r="K42" s="114"/>
      <c r="M42" s="114"/>
      <c r="O42" s="114"/>
      <c r="P42" s="114"/>
      <c r="Q42" s="114"/>
      <c r="S42" s="114"/>
      <c r="U42" s="114"/>
      <c r="V42" s="114"/>
      <c r="W42" s="114"/>
      <c r="Y42" s="115"/>
      <c r="AA42" s="114"/>
      <c r="AB42" s="180"/>
      <c r="AC42" s="115"/>
    </row>
    <row r="43" spans="1:29" ht="13.5" thickBot="1">
      <c r="A43" s="110">
        <f>MAX($A$14:A42)+1</f>
        <v>27</v>
      </c>
      <c r="C43" s="158" t="s">
        <v>64</v>
      </c>
      <c r="D43" s="114"/>
      <c r="F43" s="114"/>
      <c r="G43" s="132">
        <v>85669.416666666672</v>
      </c>
      <c r="H43" s="113"/>
      <c r="I43" s="132">
        <v>3526358.7109999997</v>
      </c>
      <c r="J43" s="113"/>
      <c r="K43" s="133">
        <v>279491.13453177566</v>
      </c>
      <c r="M43" s="133">
        <f>M17+M33+M41</f>
        <v>25308.027000000002</v>
      </c>
      <c r="O43" s="133">
        <f>O17+O33+O41</f>
        <v>304799.16153177567</v>
      </c>
      <c r="P43" s="113"/>
      <c r="Q43" s="133">
        <v>279491.13453177566</v>
      </c>
      <c r="S43" s="133">
        <f>S17+S33+S41</f>
        <v>32242.152999999995</v>
      </c>
      <c r="U43" s="133">
        <f>U17+U33+U41</f>
        <v>311733.28753177571</v>
      </c>
      <c r="V43" s="113"/>
      <c r="W43" s="133">
        <f t="shared" ref="W43" si="25">Q43-K43</f>
        <v>0</v>
      </c>
      <c r="Y43" s="135">
        <f t="shared" ref="Y43" si="26">W43/K43</f>
        <v>0</v>
      </c>
      <c r="AA43" s="133">
        <f t="shared" ref="AA43" si="27">U43-O43</f>
        <v>6934.1260000000475</v>
      </c>
      <c r="AB43" s="180"/>
      <c r="AC43" s="135">
        <f t="shared" ref="AC43" si="28">AA43/O43</f>
        <v>2.2749819799872242E-2</v>
      </c>
    </row>
    <row r="44" spans="1:29" ht="14.25" thickTop="1" thickBot="1">
      <c r="A44" s="110">
        <f>MAX($A$14:A43)+1</f>
        <v>28</v>
      </c>
      <c r="C44" s="158" t="s">
        <v>65</v>
      </c>
      <c r="D44" s="114"/>
      <c r="F44" s="114"/>
      <c r="G44" s="132">
        <f>G43-G31</f>
        <v>85668.416666666672</v>
      </c>
      <c r="H44" s="113"/>
      <c r="I44" s="132">
        <f>I43-I31</f>
        <v>2156642.9289999995</v>
      </c>
      <c r="J44" s="113"/>
      <c r="K44" s="133">
        <f>K43-K31</f>
        <v>200025.72153177566</v>
      </c>
      <c r="M44" s="133">
        <f>M43-M31</f>
        <v>15720.017000000002</v>
      </c>
      <c r="O44" s="133">
        <f>O43-O31</f>
        <v>215745.73853177566</v>
      </c>
      <c r="P44" s="113"/>
      <c r="Q44" s="133">
        <f>Q43-Q31</f>
        <v>200025.72153177566</v>
      </c>
      <c r="S44" s="133">
        <f>S43-S31</f>
        <v>20024.686999999994</v>
      </c>
      <c r="U44" s="133">
        <f>U43-U31</f>
        <v>220050.4085317757</v>
      </c>
      <c r="V44" s="113"/>
      <c r="W44" s="133">
        <f>W43-W31</f>
        <v>0</v>
      </c>
      <c r="Y44" s="135">
        <f t="shared" ref="Y44" si="29">W44/K44</f>
        <v>0</v>
      </c>
      <c r="AA44" s="133">
        <f>AA43-AA31</f>
        <v>4304.6700000000419</v>
      </c>
      <c r="AB44" s="180"/>
      <c r="AC44" s="135">
        <f>AA44/O44</f>
        <v>1.9952514609534396E-2</v>
      </c>
    </row>
    <row r="45" spans="1:29" ht="13.5" thickTop="1"/>
    <row r="46" spans="1:29">
      <c r="O46" s="114"/>
      <c r="U46" s="114"/>
      <c r="AC46" s="114"/>
    </row>
    <row r="47" spans="1:29">
      <c r="C47" s="113"/>
      <c r="M47" s="114"/>
      <c r="S47" s="114"/>
      <c r="AA47" s="114"/>
    </row>
    <row r="49" spans="11:23">
      <c r="K49" s="114"/>
      <c r="Q49" s="114"/>
      <c r="W49" s="114"/>
    </row>
    <row r="50" spans="11:23" ht="18" customHeight="1"/>
    <row r="51" spans="11:23" ht="11.25" customHeight="1"/>
    <row r="52" spans="11:23">
      <c r="K52" s="114"/>
      <c r="Q52" s="114"/>
      <c r="W52" s="114"/>
    </row>
  </sheetData>
  <printOptions horizontalCentered="1"/>
  <pageMargins left="0.25" right="0.25" top="1" bottom="0.5" header="0.5" footer="0.25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  <pageSetUpPr fitToPage="1"/>
  </sheetPr>
  <dimension ref="A1:D13"/>
  <sheetViews>
    <sheetView zoomScaleNormal="100" workbookViewId="0">
      <selection activeCell="H22" sqref="H22"/>
    </sheetView>
  </sheetViews>
  <sheetFormatPr defaultRowHeight="12.75"/>
  <cols>
    <col min="1" max="1" width="18.42578125" bestFit="1" customWidth="1"/>
    <col min="2" max="2" width="9.7109375" bestFit="1" customWidth="1"/>
    <col min="3" max="3" width="11.140625" bestFit="1" customWidth="1"/>
  </cols>
  <sheetData>
    <row r="1" spans="1:4">
      <c r="A1" s="92" t="s">
        <v>156</v>
      </c>
      <c r="B1" s="92" t="s">
        <v>157</v>
      </c>
      <c r="C1" s="92" t="s">
        <v>158</v>
      </c>
      <c r="D1" s="93" t="s">
        <v>159</v>
      </c>
    </row>
    <row r="2" spans="1:4">
      <c r="A2" s="94" t="s">
        <v>160</v>
      </c>
      <c r="B2" s="94" t="s">
        <v>28</v>
      </c>
      <c r="C2" s="95">
        <v>41838917</v>
      </c>
      <c r="D2" s="107">
        <f>C2/(C2+C3)</f>
        <v>0.1238882984120914</v>
      </c>
    </row>
    <row r="3" spans="1:4">
      <c r="A3" s="96"/>
      <c r="B3" s="94" t="s">
        <v>27</v>
      </c>
      <c r="C3" s="95">
        <v>295875924</v>
      </c>
      <c r="D3" s="108">
        <f>1-D2</f>
        <v>0.87611170158790863</v>
      </c>
    </row>
    <row r="4" spans="1:4">
      <c r="A4" s="94" t="s">
        <v>161</v>
      </c>
      <c r="B4" s="94" t="s">
        <v>28</v>
      </c>
      <c r="C4" s="95">
        <v>145920</v>
      </c>
      <c r="D4" s="107">
        <f>C4/(C4+C5)</f>
        <v>5.5498304757271933E-3</v>
      </c>
    </row>
    <row r="5" spans="1:4">
      <c r="A5" s="97"/>
      <c r="B5" s="98" t="s">
        <v>27</v>
      </c>
      <c r="C5" s="99">
        <v>26146775</v>
      </c>
      <c r="D5" s="108">
        <f>1-D4</f>
        <v>0.99445016952427279</v>
      </c>
    </row>
    <row r="6" spans="1:4">
      <c r="A6" s="94" t="s">
        <v>162</v>
      </c>
      <c r="B6" s="94" t="s">
        <v>28</v>
      </c>
      <c r="C6" s="100">
        <v>346592</v>
      </c>
      <c r="D6" s="107">
        <f>C6/(C6+C7+C10+C11)</f>
        <v>1.9856888229355584E-3</v>
      </c>
    </row>
    <row r="7" spans="1:4">
      <c r="A7" s="96"/>
      <c r="B7" s="94" t="s">
        <v>27</v>
      </c>
      <c r="C7" s="100">
        <v>174192020</v>
      </c>
      <c r="D7" s="108">
        <f>1-D6</f>
        <v>0.99801431117706441</v>
      </c>
    </row>
    <row r="8" spans="1:4">
      <c r="A8" s="94" t="s">
        <v>49</v>
      </c>
      <c r="B8" s="94" t="s">
        <v>28</v>
      </c>
      <c r="C8" s="100">
        <v>1067813</v>
      </c>
      <c r="D8" s="107">
        <f>C8/(C8+C9)</f>
        <v>2.7298473162678284E-2</v>
      </c>
    </row>
    <row r="9" spans="1:4">
      <c r="A9" s="97"/>
      <c r="B9" s="98" t="s">
        <v>27</v>
      </c>
      <c r="C9" s="101">
        <v>38048404</v>
      </c>
      <c r="D9" s="108">
        <f>1-D8</f>
        <v>0.97270152683732169</v>
      </c>
    </row>
    <row r="10" spans="1:4">
      <c r="A10" s="102" t="s">
        <v>163</v>
      </c>
      <c r="B10" s="102" t="s">
        <v>28</v>
      </c>
      <c r="C10" s="103"/>
      <c r="D10" s="107">
        <f>C10/(C10+C11)</f>
        <v>0</v>
      </c>
    </row>
    <row r="11" spans="1:4">
      <c r="A11" s="104"/>
      <c r="B11" s="105" t="s">
        <v>27</v>
      </c>
      <c r="C11" s="106">
        <v>6360</v>
      </c>
      <c r="D11" s="108">
        <f>1-D10</f>
        <v>1</v>
      </c>
    </row>
    <row r="13" spans="1:4">
      <c r="A13" s="23" t="s">
        <v>164</v>
      </c>
    </row>
  </sheetData>
  <printOptions horizontalCentered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2E117B6E7B744F8FA19BE0A741C718" ma:contentTypeVersion="6" ma:contentTypeDescription="Create a new document." ma:contentTypeScope="" ma:versionID="a1a8d23454f267bd2b1e57b7bc5bc03d">
  <xsd:schema xmlns:xsd="http://www.w3.org/2001/XMLSchema" xmlns:xs="http://www.w3.org/2001/XMLSchema" xmlns:p="http://schemas.microsoft.com/office/2006/metadata/properties" xmlns:ns2="57b5fa15-066d-40d6-ab56-ef2db2a327b6" xmlns:ns3="7134b999-6748-4436-add2-dcedf1c57a6b" targetNamespace="http://schemas.microsoft.com/office/2006/metadata/properties" ma:root="true" ma:fieldsID="e6517cb5de6c8cb7e27fe51a654d589a" ns2:_="" ns3:_="">
    <xsd:import namespace="57b5fa15-066d-40d6-ab56-ef2db2a327b6"/>
    <xsd:import namespace="7134b999-6748-4436-add2-dcedf1c57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5fa15-066d-40d6-ab56-ef2db2a32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4b999-6748-4436-add2-dcedf1c57a6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B684CE-56C5-4471-9034-C7DCC809054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687F4E-22AE-4D4E-B311-C6A7F551C7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b5fa15-066d-40d6-ab56-ef2db2a327b6"/>
    <ds:schemaRef ds:uri="7134b999-6748-4436-add2-dcedf1c57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5F11A3-A330-4F64-A63E-94749FA73E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Exhibit 2</vt:lpstr>
      <vt:lpstr>NPC-Summary</vt:lpstr>
      <vt:lpstr>NPC-Table 2</vt:lpstr>
      <vt:lpstr>Forecast</vt:lpstr>
      <vt:lpstr>ECAM-Rev</vt:lpstr>
      <vt:lpstr>Table A</vt:lpstr>
      <vt:lpstr>Voltage Data</vt:lpstr>
      <vt:lpstr>'Exhibit 2'!Print_Area</vt:lpstr>
      <vt:lpstr>'Table A'!Print_Area</vt:lpstr>
    </vt:vector>
  </TitlesOfParts>
  <Manager/>
  <Company>PacifiCorp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p74618</dc:creator>
  <cp:keywords/>
  <dc:description/>
  <cp:lastModifiedBy>Alder, Mark (PacifiCorp)</cp:lastModifiedBy>
  <cp:revision/>
  <dcterms:created xsi:type="dcterms:W3CDTF">2011-01-03T16:47:04Z</dcterms:created>
  <dcterms:modified xsi:type="dcterms:W3CDTF">2023-03-29T21:16:10Z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0x0101009A2E117B6E7B744F8FA19BE0A741C718</vt:lpwstr>
  </property>
</Properties>
</file>